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externalLinks/externalLink9.xml" ContentType="application/vnd.openxmlformats-officedocument.spreadsheetml.externalLink+xml"/>
  <Override PartName="/xl/styles.xml" ContentType="application/vnd.openxmlformats-officedocument.spreadsheetml.style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externalLinks/externalLink5.xml" ContentType="application/vnd.openxmlformats-officedocument.spreadsheetml.externalLink+xml"/>
  <Override PartName="/xl/comments4.xml" ContentType="application/vnd.openxmlformats-officedocument.spreadsheetml.comments+xml"/>
  <Override PartName="/xl/worksheets/sheet3.xml" ContentType="application/vnd.openxmlformats-officedocument.spreadsheetml.worksheet+xml"/>
  <Override PartName="/xl/worksheets/sheet98.xml" ContentType="application/vnd.openxmlformats-officedocument.spreadsheetml.worksheet+xml"/>
  <Override PartName="/xl/worksheets/sheet69.xml" ContentType="application/vnd.openxmlformats-officedocument.spreadsheetml.worksheet+xml"/>
  <Override PartName="/xl/worksheets/sheet87.xml" ContentType="application/vnd.openxmlformats-officedocument.spreadsheetml.worksheet+xml"/>
  <Override PartName="/xl/externalLinks/externalLink1.xml" ContentType="application/vnd.openxmlformats-officedocument.spreadsheetml.externalLink+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worksheets/sheet94.xml" ContentType="application/vnd.openxmlformats-officedocument.spreadsheetml.worksheet+xml"/>
  <Override PartName="/xl/externalLinks/externalLink10.xml" ContentType="application/vnd.openxmlformats-officedocument.spreadsheetml.externalLink+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92.xml" ContentType="application/vnd.openxmlformats-officedocument.spreadsheetml.worksheet+xml"/>
  <Override PartName="/xl/worksheets/sheet102.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Override PartName="/xl/worksheets/sheet90.xml" ContentType="application/vnd.openxmlformats-officedocument.spreadsheetml.worksheet+xml"/>
  <Override PartName="/xl/worksheets/sheet100.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externalLinks/externalLink8.xml" ContentType="application/vnd.openxmlformats-officedocument.spreadsheetml.externalLink+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externalLinks/externalLink6.xml" ContentType="application/vnd.openxmlformats-officedocument.spreadsheetml.externalLink+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99.xml" ContentType="application/vnd.openxmlformats-officedocument.spreadsheetml.worksheet+xml"/>
  <Override PartName="/xl/externalLinks/externalLink2.xml" ContentType="application/vnd.openxmlformats-officedocument.spreadsheetml.externalLink+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Override PartName="/xl/worksheets/sheet97.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95.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worksheets/sheet11.xml" ContentType="application/vnd.openxmlformats-officedocument.spreadsheetml.worksheet+xml"/>
  <Override PartName="/xl/worksheets/sheet40.xml" ContentType="application/vnd.openxmlformats-officedocument.spreadsheetml.worksheet+xml"/>
  <Override PartName="/xl/externalLinks/externalLink7.xml" ContentType="application/vnd.openxmlformats-officedocument.spreadsheetml.externalLink+xml"/>
  <Override PartName="/xl/comments6.xml" ContentType="application/vnd.openxmlformats-officedocument.spreadsheetml.comments+xml"/>
  <Default Extension="rels" ContentType="application/vnd.openxmlformats-package.relationships+xml"/>
  <Override PartName="/xl/worksheets/sheet5.xml" ContentType="application/vnd.openxmlformats-officedocument.spreadsheetml.worksheet+xml"/>
  <Override PartName="/xl/worksheets/sheet89.xml" ContentType="application/vnd.openxmlformats-officedocument.spreadsheetml.worksheet+xml"/>
  <Override PartName="/xl/externalLinks/externalLink3.xml" ContentType="application/vnd.openxmlformats-officedocument.spreadsheetml.externalLink+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ЭтаКнига" defaultThemeVersion="124226"/>
  <bookViews>
    <workbookView xWindow="-6375" yWindow="1860" windowWidth="14835" windowHeight="6570" tabRatio="937" firstSheet="80" activeTab="101"/>
  </bookViews>
  <sheets>
    <sheet name="Приложение 4" sheetId="59" r:id="rId1"/>
    <sheet name="Приложение 5" sheetId="60" r:id="rId2"/>
    <sheet name="ПР.1 Заголовочная часть БУ" sheetId="1" r:id="rId3"/>
    <sheet name="Заголовочная часть АУ" sheetId="2" r:id="rId4"/>
    <sheet name="Сведения" sheetId="3" r:id="rId5"/>
    <sheet name="Таблица №1" sheetId="4" r:id="rId6"/>
    <sheet name="Таблица № 2" sheetId="5" r:id="rId7"/>
    <sheet name="доходы" sheetId="9" r:id="rId8"/>
    <sheet name="Таблица № 3" sheetId="6" r:id="rId9"/>
    <sheet name="Таблицы №№ 4,5 (2)" sheetId="116" r:id="rId10"/>
    <sheet name="план график" sheetId="117" r:id="rId11"/>
    <sheet name="Приложение 2" sheetId="62" r:id="rId12"/>
    <sheet name="ВР 211" sheetId="10" r:id="rId13"/>
    <sheet name="211 фонд" sheetId="69" r:id="rId14"/>
    <sheet name="ВР211(т.2.1) штат. 01.01.18" sheetId="71" r:id="rId15"/>
    <sheet name="празднич" sheetId="72" r:id="rId16"/>
    <sheet name="ночные" sheetId="74" r:id="rId17"/>
    <sheet name="(таб2.2)расчет  с 01.01.18" sheetId="75" r:id="rId18"/>
    <sheet name="212 команд" sheetId="12" r:id="rId19"/>
    <sheet name="212 пособие ( 2018) " sheetId="13" r:id="rId20"/>
    <sheet name="212 пособие ( 2019-20)" sheetId="108" r:id="rId21"/>
    <sheet name="213 " sheetId="110" r:id="rId22"/>
    <sheet name="(213 расчет )" sheetId="65" r:id="rId23"/>
    <sheet name="221" sheetId="15" r:id="rId24"/>
    <sheet name="222" sheetId="16" r:id="rId25"/>
    <sheet name="223 свод" sheetId="76" r:id="rId26"/>
    <sheet name="223" sheetId="18" r:id="rId27"/>
    <sheet name="224" sheetId="19" r:id="rId28"/>
    <sheet name="225 ( 2018) " sheetId="70" r:id="rId29"/>
    <sheet name="225 ( 2019-20)" sheetId="106" r:id="rId30"/>
    <sheet name="226 ( 2018)  " sheetId="115" r:id="rId31"/>
    <sheet name="226  (2019-20)" sheetId="105" r:id="rId32"/>
    <sheet name="226 осаго " sheetId="68" r:id="rId33"/>
    <sheet name="226медосмотр" sheetId="66" r:id="rId34"/>
    <sheet name="340 свод 2018 " sheetId="77" r:id="rId35"/>
    <sheet name="340 свод 2019" sheetId="101" r:id="rId36"/>
    <sheet name="340 свод 2020" sheetId="103" r:id="rId37"/>
    <sheet name="340 мат. запасы 2018" sheetId="25" r:id="rId38"/>
    <sheet name="340  мат.запасы 2019" sheetId="83" r:id="rId39"/>
    <sheet name="340  мат.запасы 2020" sheetId="104" r:id="rId40"/>
    <sheet name="340 гсм" sheetId="26" r:id="rId41"/>
    <sheet name="Мягкий инв2018" sheetId="28" r:id="rId42"/>
    <sheet name="Мягкий инв 2019" sheetId="87" r:id="rId43"/>
    <sheet name="Мягкий инв 2020" sheetId="88" r:id="rId44"/>
    <sheet name="спецодежда(2018) " sheetId="29" r:id="rId45"/>
    <sheet name=" спецодежда (2019-20)" sheetId="84" r:id="rId46"/>
    <sheet name="дети с ОВЗ" sheetId="78" r:id="rId47"/>
    <sheet name="340 пит прих 2018(7-10)" sheetId="79" r:id="rId48"/>
    <sheet name="340 пит прих 2018(11-18)" sheetId="80" r:id="rId49"/>
    <sheet name="340 пит интер 2018 ( 7-10)" sheetId="81" r:id="rId50"/>
    <sheet name="340 пит интер 2018 ( 11-18)" sheetId="82" r:id="rId51"/>
    <sheet name="340 пит прих 2019(7-10)" sheetId="93" r:id="rId52"/>
    <sheet name="340 пит прих 2019(11-18) " sheetId="94" r:id="rId53"/>
    <sheet name="340 пит интер 2019 ( 7-10)" sheetId="95" r:id="rId54"/>
    <sheet name="340 пит интер 2019 ( 11-18) " sheetId="96" r:id="rId55"/>
    <sheet name="340 пит прих 2020(7-10)" sheetId="97" r:id="rId56"/>
    <sheet name="340 пит прих 2020(11-18)" sheetId="98" r:id="rId57"/>
    <sheet name="340 пит интер 2020 ( 7-10) " sheetId="99" r:id="rId58"/>
    <sheet name="340 пит интер 2020 ( 11-18)" sheetId="100" r:id="rId59"/>
    <sheet name="290 налоги ВР 853" sheetId="63" r:id="rId60"/>
    <sheet name="290 ВР 852 ( госпош)" sheetId="32" r:id="rId61"/>
    <sheet name="ЦСраш 2018нов" sheetId="118" r:id="rId62"/>
    <sheet name="ЦС ( 2018) " sheetId="36" r:id="rId63"/>
    <sheet name="ЦСраш 2019" sheetId="119" r:id="rId64"/>
    <sheet name="ЦСраш 2020 " sheetId="120" r:id="rId65"/>
    <sheet name="ЦС ( 2019-20)" sheetId="109" r:id="rId66"/>
    <sheet name="310" sheetId="39" r:id="rId67"/>
    <sheet name="310 учеб." sheetId="40" r:id="rId68"/>
    <sheet name="225ЦС" sheetId="114" r:id="rId69"/>
    <sheet name="226 ЦС" sheetId="67" r:id="rId70"/>
    <sheet name="310 АТ" sheetId="41" r:id="rId71"/>
    <sheet name="ПНО  2018" sheetId="44" r:id="rId72"/>
    <sheet name="Расчет комп надомн 2018" sheetId="56" r:id="rId73"/>
    <sheet name="ПНО  2019" sheetId="90" r:id="rId74"/>
    <sheet name="Расчет комп надомн 2019" sheetId="89" r:id="rId75"/>
    <sheet name="ПНО  2020" sheetId="91" r:id="rId76"/>
    <sheet name="Расчет комп надомн 2020" sheetId="92" r:id="rId77"/>
    <sheet name="расчет контингента 2018" sheetId="61" r:id="rId78"/>
    <sheet name="расчет контингента 2019г" sheetId="85" r:id="rId79"/>
    <sheet name="расчет контингента 2020г" sheetId="86" r:id="rId80"/>
    <sheet name="КАП.ВЛ." sheetId="58" r:id="rId81"/>
    <sheet name="340 мат. запасы УЧ.ЦЕЛИ" sheetId="30" r:id="rId82"/>
    <sheet name="Мягкий инв.ОБЩ" sheetId="27" r:id="rId83"/>
    <sheet name="290 прочее" sheetId="33" r:id="rId84"/>
    <sheet name="контингент" sheetId="34" r:id="rId85"/>
    <sheet name="общежитие" sheetId="35" r:id="rId86"/>
    <sheet name="212 льгот.проезд" sheetId="37" r:id="rId87"/>
    <sheet name="212 переезд" sheetId="38" r:id="rId88"/>
    <sheet name="ПИТАНИЕ" sheetId="42" r:id="rId89"/>
    <sheet name="СТИПЕНДИЯ" sheetId="43" r:id="rId90"/>
    <sheet name="71" sheetId="45" r:id="rId91"/>
    <sheet name="72" sheetId="46" r:id="rId92"/>
    <sheet name="78" sheetId="47" r:id="rId93"/>
    <sheet name="78 (2)" sheetId="48" r:id="rId94"/>
    <sheet name="78 (3)" sheetId="49" r:id="rId95"/>
    <sheet name="79" sheetId="50" r:id="rId96"/>
    <sheet name="79 (2)" sheetId="51" r:id="rId97"/>
    <sheet name="609" sheetId="52" r:id="rId98"/>
    <sheet name="612" sheetId="53" r:id="rId99"/>
    <sheet name="Врем. передача " sheetId="54" r:id="rId100"/>
    <sheet name="Личные расходы" sheetId="55" r:id="rId101"/>
    <sheet name="путевки" sheetId="57" r:id="rId102"/>
  </sheets>
  <externalReferences>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s>
  <definedNames>
    <definedName name="_ftn1" localSheetId="3">'Заголовочная часть АУ'!#REF!</definedName>
    <definedName name="_ftn1" localSheetId="2">'ПР.1 Заголовочная часть БУ'!#REF!</definedName>
    <definedName name="_ftn2" localSheetId="3">'Заголовочная часть АУ'!#REF!</definedName>
    <definedName name="_ftn2" localSheetId="2">'ПР.1 Заголовочная часть БУ'!#REF!</definedName>
    <definedName name="_ftnref1" localSheetId="3">'Заголовочная часть АУ'!#REF!</definedName>
    <definedName name="_ftnref1" localSheetId="2">'ПР.1 Заголовочная часть БУ'!#REF!</definedName>
    <definedName name="_ftnref2" localSheetId="3">'Заголовочная часть АУ'!#REF!</definedName>
    <definedName name="_ftnref2" localSheetId="2">'ПР.1 Заголовочная часть БУ'!#REF!</definedName>
    <definedName name="_xlnm._FilterDatabase" localSheetId="10" hidden="1">'план график'!$A$39:$AG$958</definedName>
    <definedName name="_xlnm._FilterDatabase" localSheetId="44" hidden="1">'спецодежда(2018) '!$A$6:$K$53</definedName>
    <definedName name="j" localSheetId="20">#REF!</definedName>
    <definedName name="j" localSheetId="21">#REF!</definedName>
    <definedName name="j" localSheetId="25">#REF!</definedName>
    <definedName name="j" localSheetId="28">#REF!</definedName>
    <definedName name="j" localSheetId="29">#REF!</definedName>
    <definedName name="j" localSheetId="68">#REF!</definedName>
    <definedName name="j" localSheetId="31">#REF!</definedName>
    <definedName name="j" localSheetId="30">#REF!</definedName>
    <definedName name="j" localSheetId="32">#REF!</definedName>
    <definedName name="j" localSheetId="69">#REF!</definedName>
    <definedName name="j" localSheetId="33">#REF!</definedName>
    <definedName name="j" localSheetId="59">#REF!</definedName>
    <definedName name="j" localSheetId="39">#REF!</definedName>
    <definedName name="j" localSheetId="54">#REF!</definedName>
    <definedName name="j" localSheetId="53">#REF!</definedName>
    <definedName name="j" localSheetId="58">#REF!</definedName>
    <definedName name="j" localSheetId="57">#REF!</definedName>
    <definedName name="j" localSheetId="52">#REF!</definedName>
    <definedName name="j" localSheetId="51">#REF!</definedName>
    <definedName name="j" localSheetId="56">#REF!</definedName>
    <definedName name="j" localSheetId="55">#REF!</definedName>
    <definedName name="j" localSheetId="34">#REF!</definedName>
    <definedName name="j" localSheetId="35">#REF!</definedName>
    <definedName name="j" localSheetId="36">#REF!</definedName>
    <definedName name="j" localSheetId="73">#REF!</definedName>
    <definedName name="j" localSheetId="75">#REF!</definedName>
    <definedName name="j" localSheetId="74">#REF!</definedName>
    <definedName name="j" localSheetId="76">#REF!</definedName>
    <definedName name="j" localSheetId="9">#REF!</definedName>
    <definedName name="j" localSheetId="65">#REF!</definedName>
    <definedName name="j" localSheetId="61">#REF!</definedName>
    <definedName name="j" localSheetId="63">#REF!</definedName>
    <definedName name="j" localSheetId="64">#REF!</definedName>
    <definedName name="j">#REF!</definedName>
    <definedName name="n" localSheetId="20">#REF!</definedName>
    <definedName name="n" localSheetId="21">#REF!</definedName>
    <definedName name="n" localSheetId="25">#REF!</definedName>
    <definedName name="n" localSheetId="28">#REF!</definedName>
    <definedName name="n" localSheetId="29">#REF!</definedName>
    <definedName name="n" localSheetId="68">#REF!</definedName>
    <definedName name="n" localSheetId="31">#REF!</definedName>
    <definedName name="n" localSheetId="30">#REF!</definedName>
    <definedName name="n" localSheetId="32">#REF!</definedName>
    <definedName name="n" localSheetId="69">#REF!</definedName>
    <definedName name="n" localSheetId="33">#REF!</definedName>
    <definedName name="n" localSheetId="59">#REF!</definedName>
    <definedName name="n" localSheetId="39">#REF!</definedName>
    <definedName name="n" localSheetId="54">#REF!</definedName>
    <definedName name="n" localSheetId="53">#REF!</definedName>
    <definedName name="n" localSheetId="58">#REF!</definedName>
    <definedName name="n" localSheetId="57">#REF!</definedName>
    <definedName name="n" localSheetId="52">#REF!</definedName>
    <definedName name="n" localSheetId="51">#REF!</definedName>
    <definedName name="n" localSheetId="56">#REF!</definedName>
    <definedName name="n" localSheetId="55">#REF!</definedName>
    <definedName name="n" localSheetId="34">#REF!</definedName>
    <definedName name="n" localSheetId="35">#REF!</definedName>
    <definedName name="n" localSheetId="36">#REF!</definedName>
    <definedName name="n" localSheetId="73">#REF!</definedName>
    <definedName name="n" localSheetId="75">#REF!</definedName>
    <definedName name="n" localSheetId="74">#REF!</definedName>
    <definedName name="n" localSheetId="76">#REF!</definedName>
    <definedName name="n" localSheetId="9">#REF!</definedName>
    <definedName name="n" localSheetId="65">#REF!</definedName>
    <definedName name="n" localSheetId="61">#REF!</definedName>
    <definedName name="n" localSheetId="63">#REF!</definedName>
    <definedName name="n" localSheetId="64">#REF!</definedName>
    <definedName name="n">#REF!</definedName>
    <definedName name="solver_adj" localSheetId="14" hidden="1">'ВР211(т.2.1) штат. 01.01.18'!$S$131</definedName>
    <definedName name="solver_cvg" localSheetId="14" hidden="1">0.0001</definedName>
    <definedName name="solver_drv" localSheetId="14" hidden="1">1</definedName>
    <definedName name="solver_eng" localSheetId="14" hidden="1">1</definedName>
    <definedName name="solver_est" localSheetId="14" hidden="1">1</definedName>
    <definedName name="solver_itr" localSheetId="14" hidden="1">100</definedName>
    <definedName name="solver_lin" localSheetId="14" hidden="1">2</definedName>
    <definedName name="solver_mip" localSheetId="14" hidden="1">2147483647</definedName>
    <definedName name="solver_mni" localSheetId="14" hidden="1">30</definedName>
    <definedName name="solver_mrt" localSheetId="14" hidden="1">0.075</definedName>
    <definedName name="solver_msl" localSheetId="14" hidden="1">2</definedName>
    <definedName name="solver_neg" localSheetId="14" hidden="1">2</definedName>
    <definedName name="solver_nod" localSheetId="14" hidden="1">2147483647</definedName>
    <definedName name="solver_num" localSheetId="14" hidden="1">0</definedName>
    <definedName name="solver_nwt" localSheetId="14" hidden="1">1</definedName>
    <definedName name="solver_opt" localSheetId="14" hidden="1">'ВР211(т.2.1) штат. 01.01.18'!$P$145</definedName>
    <definedName name="solver_pre" localSheetId="14" hidden="1">0.000001</definedName>
    <definedName name="solver_rbv" localSheetId="14" hidden="1">1</definedName>
    <definedName name="solver_rlx" localSheetId="14" hidden="1">1</definedName>
    <definedName name="solver_rsd" localSheetId="14" hidden="1">0</definedName>
    <definedName name="solver_scl" localSheetId="14" hidden="1">2</definedName>
    <definedName name="solver_sho" localSheetId="14" hidden="1">2</definedName>
    <definedName name="solver_ssz" localSheetId="14" hidden="1">100</definedName>
    <definedName name="solver_tim" localSheetId="14" hidden="1">100</definedName>
    <definedName name="solver_tol" localSheetId="14" hidden="1">0.05</definedName>
    <definedName name="solver_typ" localSheetId="14" hidden="1">3</definedName>
    <definedName name="solver_val" localSheetId="14" hidden="1">7301125.64</definedName>
    <definedName name="solver_ver" localSheetId="14" hidden="1">3</definedName>
    <definedName name="Z_020D120D_C00B_48BB_8911_CF8C51A9C538_.wvu.Cols" localSheetId="46" hidden="1">'дети с ОВЗ'!#REF!</definedName>
    <definedName name="Z_020D120D_C00B_48BB_8911_CF8C51A9C538_.wvu.Rows" localSheetId="46" hidden="1">'дети с ОВЗ'!$1:$2</definedName>
    <definedName name="Z_1C2E0685_FB33_4D4A_BF54_BFEF1AAEEC33_.wvu.Cols" localSheetId="46" hidden="1">'дети с ОВЗ'!#REF!</definedName>
    <definedName name="Z_1C2E0685_FB33_4D4A_BF54_BFEF1AAEEC33_.wvu.Rows" localSheetId="46" hidden="1">'дети с ОВЗ'!$1:$2</definedName>
    <definedName name="Z_22820B9F_10DE_4629_AF3D_4AF98A9BCEDB_.wvu.Cols" localSheetId="0" hidden="1">'Приложение 4'!$M:$M</definedName>
    <definedName name="Z_22820B9F_10DE_4629_AF3D_4AF98A9BCEDB_.wvu.FilterData" localSheetId="44" hidden="1">'спецодежда(2018) '!$A$6:$K$53</definedName>
    <definedName name="Z_22820B9F_10DE_4629_AF3D_4AF98A9BCEDB_.wvu.PrintArea" localSheetId="19" hidden="1">'212 пособие ( 2018) '!$A$1:$F$19</definedName>
    <definedName name="Z_22820B9F_10DE_4629_AF3D_4AF98A9BCEDB_.wvu.PrintArea" localSheetId="20" hidden="1">'212 пособие ( 2019-20)'!$A$1:$F$19</definedName>
    <definedName name="Z_22820B9F_10DE_4629_AF3D_4AF98A9BCEDB_.wvu.PrintArea" localSheetId="21" hidden="1">'213 '!$A$1:$D$40</definedName>
    <definedName name="Z_22820B9F_10DE_4629_AF3D_4AF98A9BCEDB_.wvu.PrintArea" localSheetId="23" hidden="1">'221'!$A$1:$G$32</definedName>
    <definedName name="Z_22820B9F_10DE_4629_AF3D_4AF98A9BCEDB_.wvu.PrintArea" localSheetId="24" hidden="1">'222'!$A$1:$F$17</definedName>
    <definedName name="Z_22820B9F_10DE_4629_AF3D_4AF98A9BCEDB_.wvu.PrintArea" localSheetId="25" hidden="1">'223 свод'!$A$1:$G$19</definedName>
    <definedName name="Z_22820B9F_10DE_4629_AF3D_4AF98A9BCEDB_.wvu.PrintArea" localSheetId="27" hidden="1">'224'!$A$1:$F$18</definedName>
    <definedName name="Z_22820B9F_10DE_4629_AF3D_4AF98A9BCEDB_.wvu.PrintArea" localSheetId="60" hidden="1">'290 ВР 852 ( госпош)'!$A$1:$O$26</definedName>
    <definedName name="Z_22820B9F_10DE_4629_AF3D_4AF98A9BCEDB_.wvu.PrintArea" localSheetId="59" hidden="1">'290 налоги ВР 853'!$A$1:$O$26</definedName>
    <definedName name="Z_22820B9F_10DE_4629_AF3D_4AF98A9BCEDB_.wvu.PrintArea" localSheetId="83" hidden="1">'290 прочее'!$A$1:$P$24</definedName>
    <definedName name="Z_22820B9F_10DE_4629_AF3D_4AF98A9BCEDB_.wvu.PrintArea" localSheetId="66" hidden="1">'310'!$A$1:$I$26</definedName>
    <definedName name="Z_22820B9F_10DE_4629_AF3D_4AF98A9BCEDB_.wvu.PrintArea" localSheetId="70" hidden="1">'310 АТ'!$A$1:$E$21</definedName>
    <definedName name="Z_22820B9F_10DE_4629_AF3D_4AF98A9BCEDB_.wvu.PrintArea" localSheetId="40" hidden="1">'340 гсм'!$A$1:$L$63</definedName>
    <definedName name="Z_22820B9F_10DE_4629_AF3D_4AF98A9BCEDB_.wvu.PrintArea" localSheetId="37" hidden="1">'340 мат. запасы 2018'!$A$1:$F$245</definedName>
    <definedName name="Z_22820B9F_10DE_4629_AF3D_4AF98A9BCEDB_.wvu.PrintArea" localSheetId="93" hidden="1">'78 (2)'!$A$1:$D$18</definedName>
    <definedName name="Z_22820B9F_10DE_4629_AF3D_4AF98A9BCEDB_.wvu.PrintArea" localSheetId="94" hidden="1">'78 (3)'!$A$1:$D$19</definedName>
    <definedName name="Z_22820B9F_10DE_4629_AF3D_4AF98A9BCEDB_.wvu.PrintArea" localSheetId="12" hidden="1">'ВР 211'!$A$1:$N$40</definedName>
    <definedName name="Z_22820B9F_10DE_4629_AF3D_4AF98A9BCEDB_.wvu.PrintArea" localSheetId="99" hidden="1">'Врем. передача '!$A$1:$H$29</definedName>
    <definedName name="Z_22820B9F_10DE_4629_AF3D_4AF98A9BCEDB_.wvu.PrintArea" localSheetId="7" hidden="1">доходы!$A$1:$G$27</definedName>
    <definedName name="Z_22820B9F_10DE_4629_AF3D_4AF98A9BCEDB_.wvu.PrintArea" localSheetId="3" hidden="1">'Заголовочная часть АУ'!$A$1:$J$47</definedName>
    <definedName name="Z_22820B9F_10DE_4629_AF3D_4AF98A9BCEDB_.wvu.PrintArea" localSheetId="100" hidden="1">'Личные расходы'!$A$1:$K$19</definedName>
    <definedName name="Z_22820B9F_10DE_4629_AF3D_4AF98A9BCEDB_.wvu.PrintArea" localSheetId="82" hidden="1">'Мягкий инв.ОБЩ'!$A$2:$F$28</definedName>
    <definedName name="Z_22820B9F_10DE_4629_AF3D_4AF98A9BCEDB_.wvu.PrintArea" localSheetId="41" hidden="1">'Мягкий инв2018'!$A$1:$K$71</definedName>
    <definedName name="Z_22820B9F_10DE_4629_AF3D_4AF98A9BCEDB_.wvu.PrintArea" localSheetId="2" hidden="1">'ПР.1 Заголовочная часть БУ'!$A$1:$J$50</definedName>
    <definedName name="Z_22820B9F_10DE_4629_AF3D_4AF98A9BCEDB_.wvu.PrintArea" localSheetId="11" hidden="1">'Приложение 2'!$A$1:$FK$56</definedName>
    <definedName name="Z_22820B9F_10DE_4629_AF3D_4AF98A9BCEDB_.wvu.PrintArea" localSheetId="101" hidden="1">путевки!$A$1:$G$16</definedName>
    <definedName name="Z_22820B9F_10DE_4629_AF3D_4AF98A9BCEDB_.wvu.PrintArea" localSheetId="6" hidden="1">'Таблица № 2'!$A$1:$J$268</definedName>
    <definedName name="Z_22820B9F_10DE_4629_AF3D_4AF98A9BCEDB_.wvu.PrintArea" localSheetId="5" hidden="1">'Таблица №1'!$A$1:$C$29</definedName>
    <definedName name="Z_22820B9F_10DE_4629_AF3D_4AF98A9BCEDB_.wvu.PrintArea" localSheetId="9" hidden="1">'Таблицы №№ 4,5 (2)'!$A$1:$C$31</definedName>
    <definedName name="Z_22820B9F_10DE_4629_AF3D_4AF98A9BCEDB_.wvu.PrintTitles" localSheetId="88" hidden="1">ПИТАНИЕ!$A:$J</definedName>
    <definedName name="Z_22820B9F_10DE_4629_AF3D_4AF98A9BCEDB_.wvu.PrintTitles" localSheetId="71" hidden="1">'ПНО  2018'!$5:$6</definedName>
    <definedName name="Z_22820B9F_10DE_4629_AF3D_4AF98A9BCEDB_.wvu.PrintTitles" localSheetId="73" hidden="1">'ПНО  2019'!$5:$6</definedName>
    <definedName name="Z_22820B9F_10DE_4629_AF3D_4AF98A9BCEDB_.wvu.PrintTitles" localSheetId="75" hidden="1">'ПНО  2020'!$5:$6</definedName>
    <definedName name="Z_22820B9F_10DE_4629_AF3D_4AF98A9BCEDB_.wvu.PrintTitles" localSheetId="6" hidden="1">'Таблица № 2'!$4:$8</definedName>
    <definedName name="Z_22820B9F_10DE_4629_AF3D_4AF98A9BCEDB_.wvu.Rows" localSheetId="99" hidden="1">'Врем. передача '!$5:$5,'Врем. передача '!$14:$14</definedName>
    <definedName name="Z_22820B9F_10DE_4629_AF3D_4AF98A9BCEDB_.wvu.Rows" localSheetId="3" hidden="1">'Заголовочная часть АУ'!$304:$307,'Заголовочная часть АУ'!$548:$551</definedName>
    <definedName name="Z_22820B9F_10DE_4629_AF3D_4AF98A9BCEDB_.wvu.Rows" localSheetId="2" hidden="1">'ПР.1 Заголовочная часть БУ'!$307:$310,'ПР.1 Заголовочная часть БУ'!$551:$554</definedName>
    <definedName name="Z_22820B9F_10DE_4629_AF3D_4AF98A9BCEDB_.wvu.Rows" localSheetId="5" hidden="1">'Таблица №1'!$1:$1</definedName>
    <definedName name="Z_43136B00_66C6_4289_99D3_5EF20611F834_.wvu.Cols" localSheetId="0" hidden="1">'Приложение 4'!$M:$M</definedName>
    <definedName name="Z_43136B00_66C6_4289_99D3_5EF20611F834_.wvu.FilterData" localSheetId="44" hidden="1">'спецодежда(2018) '!$A$6:$K$53</definedName>
    <definedName name="Z_43136B00_66C6_4289_99D3_5EF20611F834_.wvu.PrintArea" localSheetId="21" hidden="1">'213 '!$A$1:$D$35</definedName>
    <definedName name="Z_43136B00_66C6_4289_99D3_5EF20611F834_.wvu.PrintArea" localSheetId="23" hidden="1">'221'!$A$1:$G$28</definedName>
    <definedName name="Z_43136B00_66C6_4289_99D3_5EF20611F834_.wvu.PrintArea" localSheetId="25" hidden="1">'223 свод'!$A$1:$G$18</definedName>
    <definedName name="Z_43136B00_66C6_4289_99D3_5EF20611F834_.wvu.PrintArea" localSheetId="27" hidden="1">'224'!$A$1:$F$18</definedName>
    <definedName name="Z_43136B00_66C6_4289_99D3_5EF20611F834_.wvu.PrintArea" localSheetId="60" hidden="1">'290 ВР 852 ( госпош)'!$A$1:$O$21</definedName>
    <definedName name="Z_43136B00_66C6_4289_99D3_5EF20611F834_.wvu.PrintArea" localSheetId="59" hidden="1">'290 налоги ВР 853'!$A$1:$O$21</definedName>
    <definedName name="Z_43136B00_66C6_4289_99D3_5EF20611F834_.wvu.PrintArea" localSheetId="83" hidden="1">'290 прочее'!$A$1:$P$19</definedName>
    <definedName name="Z_43136B00_66C6_4289_99D3_5EF20611F834_.wvu.PrintArea" localSheetId="66" hidden="1">'310'!$A$1:$I$26</definedName>
    <definedName name="Z_43136B00_66C6_4289_99D3_5EF20611F834_.wvu.PrintArea" localSheetId="70" hidden="1">'310 АТ'!$A$1:$E$16</definedName>
    <definedName name="Z_43136B00_66C6_4289_99D3_5EF20611F834_.wvu.PrintArea" localSheetId="93" hidden="1">'78 (2)'!$A$1:$D$12</definedName>
    <definedName name="Z_43136B00_66C6_4289_99D3_5EF20611F834_.wvu.PrintArea" localSheetId="94" hidden="1">'78 (3)'!$A$1:$D$12</definedName>
    <definedName name="Z_43136B00_66C6_4289_99D3_5EF20611F834_.wvu.PrintArea" localSheetId="12" hidden="1">'ВР 211'!$A$1:$N$43</definedName>
    <definedName name="Z_43136B00_66C6_4289_99D3_5EF20611F834_.wvu.PrintArea" localSheetId="99" hidden="1">'Врем. передача '!$A$1:$H$29</definedName>
    <definedName name="Z_43136B00_66C6_4289_99D3_5EF20611F834_.wvu.PrintArea" localSheetId="7" hidden="1">доходы!$A$1:$G$21</definedName>
    <definedName name="Z_43136B00_66C6_4289_99D3_5EF20611F834_.wvu.PrintArea" localSheetId="3" hidden="1">'Заголовочная часть АУ'!$A$1:$J$47</definedName>
    <definedName name="Z_43136B00_66C6_4289_99D3_5EF20611F834_.wvu.PrintArea" localSheetId="100" hidden="1">'Личные расходы'!$A$1:$K$14</definedName>
    <definedName name="Z_43136B00_66C6_4289_99D3_5EF20611F834_.wvu.PrintArea" localSheetId="82" hidden="1">'Мягкий инв.ОБЩ'!$A$2:$F$28</definedName>
    <definedName name="Z_43136B00_66C6_4289_99D3_5EF20611F834_.wvu.PrintArea" localSheetId="41" hidden="1">'Мягкий инв2018'!$A$1:$K$71</definedName>
    <definedName name="Z_43136B00_66C6_4289_99D3_5EF20611F834_.wvu.PrintArea" localSheetId="2" hidden="1">'ПР.1 Заголовочная часть БУ'!$A$1:$J$50</definedName>
    <definedName name="Z_43136B00_66C6_4289_99D3_5EF20611F834_.wvu.PrintArea" localSheetId="11" hidden="1">'Приложение 2'!$A$1:$FK$56</definedName>
    <definedName name="Z_43136B00_66C6_4289_99D3_5EF20611F834_.wvu.PrintArea" localSheetId="101" hidden="1">путевки!$A$1:$G$16</definedName>
    <definedName name="Z_43136B00_66C6_4289_99D3_5EF20611F834_.wvu.PrintArea" localSheetId="6" hidden="1">'Таблица № 2'!$A$1:$J$268</definedName>
    <definedName name="Z_43136B00_66C6_4289_99D3_5EF20611F834_.wvu.PrintArea" localSheetId="5" hidden="1">'Таблица №1'!$A$1:$C$29</definedName>
    <definedName name="Z_43136B00_66C6_4289_99D3_5EF20611F834_.wvu.PrintArea" localSheetId="9" hidden="1">'Таблицы №№ 4,5 (2)'!$A$1:$C$31</definedName>
    <definedName name="Z_43136B00_66C6_4289_99D3_5EF20611F834_.wvu.PrintTitles" localSheetId="88" hidden="1">ПИТАНИЕ!$A:$J</definedName>
    <definedName name="Z_43136B00_66C6_4289_99D3_5EF20611F834_.wvu.PrintTitles" localSheetId="71" hidden="1">'ПНО  2018'!$5:$6</definedName>
    <definedName name="Z_43136B00_66C6_4289_99D3_5EF20611F834_.wvu.PrintTitles" localSheetId="73" hidden="1">'ПНО  2019'!$5:$6</definedName>
    <definedName name="Z_43136B00_66C6_4289_99D3_5EF20611F834_.wvu.PrintTitles" localSheetId="75" hidden="1">'ПНО  2020'!$5:$6</definedName>
    <definedName name="Z_43136B00_66C6_4289_99D3_5EF20611F834_.wvu.PrintTitles" localSheetId="6" hidden="1">'Таблица № 2'!$4:$8</definedName>
    <definedName name="Z_43136B00_66C6_4289_99D3_5EF20611F834_.wvu.Rows" localSheetId="99" hidden="1">'Врем. передача '!$5:$5,'Врем. передача '!$14:$14</definedName>
    <definedName name="Z_43136B00_66C6_4289_99D3_5EF20611F834_.wvu.Rows" localSheetId="3" hidden="1">'Заголовочная часть АУ'!$304:$307,'Заголовочная часть АУ'!$548:$551</definedName>
    <definedName name="Z_43136B00_66C6_4289_99D3_5EF20611F834_.wvu.Rows" localSheetId="2" hidden="1">'ПР.1 Заголовочная часть БУ'!$307:$310,'ПР.1 Заголовочная часть БУ'!$551:$554</definedName>
    <definedName name="Z_43136B00_66C6_4289_99D3_5EF20611F834_.wvu.Rows" localSheetId="5" hidden="1">'Таблица №1'!$1:$1</definedName>
    <definedName name="Z_453EA977_C52D_4421_A89D_9BDFC416D3AB_.wvu.FilterData" localSheetId="44" hidden="1">'спецодежда(2018) '!$A$6:$K$53</definedName>
    <definedName name="Z_CA0FB9E2_E541_4C74_BCFE_D75491869B36_.wvu.Cols" localSheetId="0" hidden="1">'Приложение 4'!$M:$M</definedName>
    <definedName name="Z_CA0FB9E2_E541_4C74_BCFE_D75491869B36_.wvu.FilterData" localSheetId="44" hidden="1">'спецодежда(2018) '!$A$6:$K$53</definedName>
    <definedName name="Z_CA0FB9E2_E541_4C74_BCFE_D75491869B36_.wvu.PrintArea" localSheetId="19" hidden="1">'212 пособие ( 2018) '!$A$1:$F$19</definedName>
    <definedName name="Z_CA0FB9E2_E541_4C74_BCFE_D75491869B36_.wvu.PrintArea" localSheetId="20" hidden="1">'212 пособие ( 2019-20)'!$A$1:$F$19</definedName>
    <definedName name="Z_CA0FB9E2_E541_4C74_BCFE_D75491869B36_.wvu.PrintArea" localSheetId="21" hidden="1">'213 '!$A$1:$D$40</definedName>
    <definedName name="Z_CA0FB9E2_E541_4C74_BCFE_D75491869B36_.wvu.PrintArea" localSheetId="23" hidden="1">'221'!$A$1:$G$32</definedName>
    <definedName name="Z_CA0FB9E2_E541_4C74_BCFE_D75491869B36_.wvu.PrintArea" localSheetId="24" hidden="1">'222'!$A$1:$F$17</definedName>
    <definedName name="Z_CA0FB9E2_E541_4C74_BCFE_D75491869B36_.wvu.PrintArea" localSheetId="25" hidden="1">'223 свод'!$A$1:$G$19</definedName>
    <definedName name="Z_CA0FB9E2_E541_4C74_BCFE_D75491869B36_.wvu.PrintArea" localSheetId="27" hidden="1">'224'!$A$1:$F$18</definedName>
    <definedName name="Z_CA0FB9E2_E541_4C74_BCFE_D75491869B36_.wvu.PrintArea" localSheetId="60" hidden="1">'290 ВР 852 ( госпош)'!$A$1:$O$26</definedName>
    <definedName name="Z_CA0FB9E2_E541_4C74_BCFE_D75491869B36_.wvu.PrintArea" localSheetId="59" hidden="1">'290 налоги ВР 853'!$A$1:$O$26</definedName>
    <definedName name="Z_CA0FB9E2_E541_4C74_BCFE_D75491869B36_.wvu.PrintArea" localSheetId="83" hidden="1">'290 прочее'!$A$1:$P$24</definedName>
    <definedName name="Z_CA0FB9E2_E541_4C74_BCFE_D75491869B36_.wvu.PrintArea" localSheetId="66" hidden="1">'310'!$A$1:$I$26</definedName>
    <definedName name="Z_CA0FB9E2_E541_4C74_BCFE_D75491869B36_.wvu.PrintArea" localSheetId="70" hidden="1">'310 АТ'!$A$1:$E$21</definedName>
    <definedName name="Z_CA0FB9E2_E541_4C74_BCFE_D75491869B36_.wvu.PrintArea" localSheetId="40" hidden="1">'340 гсм'!$A$1:$L$63</definedName>
    <definedName name="Z_CA0FB9E2_E541_4C74_BCFE_D75491869B36_.wvu.PrintArea" localSheetId="37" hidden="1">'340 мат. запасы 2018'!$A$1:$F$245</definedName>
    <definedName name="Z_CA0FB9E2_E541_4C74_BCFE_D75491869B36_.wvu.PrintArea" localSheetId="93" hidden="1">'78 (2)'!$A$1:$D$18</definedName>
    <definedName name="Z_CA0FB9E2_E541_4C74_BCFE_D75491869B36_.wvu.PrintArea" localSheetId="94" hidden="1">'78 (3)'!$A$1:$D$19</definedName>
    <definedName name="Z_CA0FB9E2_E541_4C74_BCFE_D75491869B36_.wvu.PrintArea" localSheetId="12" hidden="1">'ВР 211'!$A$1:$N$40</definedName>
    <definedName name="Z_CA0FB9E2_E541_4C74_BCFE_D75491869B36_.wvu.PrintArea" localSheetId="99" hidden="1">'Врем. передача '!$A$1:$H$29</definedName>
    <definedName name="Z_CA0FB9E2_E541_4C74_BCFE_D75491869B36_.wvu.PrintArea" localSheetId="7" hidden="1">доходы!$A$1:$G$27</definedName>
    <definedName name="Z_CA0FB9E2_E541_4C74_BCFE_D75491869B36_.wvu.PrintArea" localSheetId="3" hidden="1">'Заголовочная часть АУ'!$A$1:$J$47</definedName>
    <definedName name="Z_CA0FB9E2_E541_4C74_BCFE_D75491869B36_.wvu.PrintArea" localSheetId="100" hidden="1">'Личные расходы'!$A$1:$K$19</definedName>
    <definedName name="Z_CA0FB9E2_E541_4C74_BCFE_D75491869B36_.wvu.PrintArea" localSheetId="82" hidden="1">'Мягкий инв.ОБЩ'!$A$2:$F$28</definedName>
    <definedName name="Z_CA0FB9E2_E541_4C74_BCFE_D75491869B36_.wvu.PrintArea" localSheetId="41" hidden="1">'Мягкий инв2018'!$A$1:$K$71</definedName>
    <definedName name="Z_CA0FB9E2_E541_4C74_BCFE_D75491869B36_.wvu.PrintArea" localSheetId="2" hidden="1">'ПР.1 Заголовочная часть БУ'!$A$1:$J$50</definedName>
    <definedName name="Z_CA0FB9E2_E541_4C74_BCFE_D75491869B36_.wvu.PrintArea" localSheetId="11" hidden="1">'Приложение 2'!$A$1:$FK$56</definedName>
    <definedName name="Z_CA0FB9E2_E541_4C74_BCFE_D75491869B36_.wvu.PrintArea" localSheetId="101" hidden="1">путевки!$A$1:$G$16</definedName>
    <definedName name="Z_CA0FB9E2_E541_4C74_BCFE_D75491869B36_.wvu.PrintArea" localSheetId="6" hidden="1">'Таблица № 2'!$A$1:$J$267</definedName>
    <definedName name="Z_CA0FB9E2_E541_4C74_BCFE_D75491869B36_.wvu.PrintArea" localSheetId="5" hidden="1">'Таблица №1'!$A$1:$C$29</definedName>
    <definedName name="Z_CA0FB9E2_E541_4C74_BCFE_D75491869B36_.wvu.PrintArea" localSheetId="9" hidden="1">'Таблицы №№ 4,5 (2)'!$A$1:$C$31</definedName>
    <definedName name="Z_CA0FB9E2_E541_4C74_BCFE_D75491869B36_.wvu.PrintTitles" localSheetId="88" hidden="1">ПИТАНИЕ!$A:$J</definedName>
    <definedName name="Z_CA0FB9E2_E541_4C74_BCFE_D75491869B36_.wvu.PrintTitles" localSheetId="71" hidden="1">'ПНО  2018'!$5:$6</definedName>
    <definedName name="Z_CA0FB9E2_E541_4C74_BCFE_D75491869B36_.wvu.PrintTitles" localSheetId="73" hidden="1">'ПНО  2019'!$5:$6</definedName>
    <definedName name="Z_CA0FB9E2_E541_4C74_BCFE_D75491869B36_.wvu.PrintTitles" localSheetId="75" hidden="1">'ПНО  2020'!$5:$6</definedName>
    <definedName name="Z_CA0FB9E2_E541_4C74_BCFE_D75491869B36_.wvu.PrintTitles" localSheetId="6" hidden="1">'Таблица № 2'!$4:$8</definedName>
    <definedName name="Z_CA0FB9E2_E541_4C74_BCFE_D75491869B36_.wvu.Rows" localSheetId="99" hidden="1">'Врем. передача '!$5:$5,'Врем. передача '!$14:$14</definedName>
    <definedName name="Z_CA0FB9E2_E541_4C74_BCFE_D75491869B36_.wvu.Rows" localSheetId="3" hidden="1">'Заголовочная часть АУ'!$304:$307,'Заголовочная часть АУ'!$548:$551</definedName>
    <definedName name="Z_CA0FB9E2_E541_4C74_BCFE_D75491869B36_.wvu.Rows" localSheetId="2" hidden="1">'ПР.1 Заголовочная часть БУ'!$307:$310,'ПР.1 Заголовочная часть БУ'!$551:$554</definedName>
    <definedName name="Z_CA0FB9E2_E541_4C74_BCFE_D75491869B36_.wvu.Rows" localSheetId="5" hidden="1">'Таблица №1'!$1:$1</definedName>
    <definedName name="Z_F10E3D8B_5892_420A_B023_68C6496D556B_.wvu.Cols" localSheetId="7" hidden="1">доходы!$I:$I</definedName>
    <definedName name="Z_F10E3D8B_5892_420A_B023_68C6496D556B_.wvu.Cols" localSheetId="0" hidden="1">'Приложение 4'!$M:$M</definedName>
    <definedName name="Z_F10E3D8B_5892_420A_B023_68C6496D556B_.wvu.FilterData" localSheetId="44" hidden="1">'спецодежда(2018) '!$A$6:$K$53</definedName>
    <definedName name="Z_F10E3D8B_5892_420A_B023_68C6496D556B_.wvu.PrintArea" localSheetId="21" hidden="1">'213 '!$A$1:$D$26</definedName>
    <definedName name="Z_F10E3D8B_5892_420A_B023_68C6496D556B_.wvu.PrintArea" localSheetId="23" hidden="1">'221'!$A$1:$G$22</definedName>
    <definedName name="Z_F10E3D8B_5892_420A_B023_68C6496D556B_.wvu.PrintArea" localSheetId="25" hidden="1">'223 свод'!$A$1:$G$13</definedName>
    <definedName name="Z_F10E3D8B_5892_420A_B023_68C6496D556B_.wvu.PrintArea" localSheetId="27" hidden="1">'224'!$A$1:$F$11</definedName>
    <definedName name="Z_F10E3D8B_5892_420A_B023_68C6496D556B_.wvu.PrintArea" localSheetId="60" hidden="1">'290 ВР 852 ( госпош)'!$A$1:$O$21</definedName>
    <definedName name="Z_F10E3D8B_5892_420A_B023_68C6496D556B_.wvu.PrintArea" localSheetId="59" hidden="1">'290 налоги ВР 853'!$A$1:$O$21</definedName>
    <definedName name="Z_F10E3D8B_5892_420A_B023_68C6496D556B_.wvu.PrintArea" localSheetId="83" hidden="1">'290 прочее'!$A$1:$P$19</definedName>
    <definedName name="Z_F10E3D8B_5892_420A_B023_68C6496D556B_.wvu.PrintArea" localSheetId="66" hidden="1">'310'!$A$2:$I$21</definedName>
    <definedName name="Z_F10E3D8B_5892_420A_B023_68C6496D556B_.wvu.PrintArea" localSheetId="70" hidden="1">'310 АТ'!$A$1:$E$16</definedName>
    <definedName name="Z_F10E3D8B_5892_420A_B023_68C6496D556B_.wvu.PrintArea" localSheetId="93" hidden="1">'78 (2)'!$A$1:$D$12</definedName>
    <definedName name="Z_F10E3D8B_5892_420A_B023_68C6496D556B_.wvu.PrintArea" localSheetId="94" hidden="1">'78 (3)'!$A$1:$D$12</definedName>
    <definedName name="Z_F10E3D8B_5892_420A_B023_68C6496D556B_.wvu.PrintArea" localSheetId="12" hidden="1">'ВР 211'!$A$1:$N$43</definedName>
    <definedName name="Z_F10E3D8B_5892_420A_B023_68C6496D556B_.wvu.PrintArea" localSheetId="99" hidden="1">'Врем. передача '!$A$3:$H$29</definedName>
    <definedName name="Z_F10E3D8B_5892_420A_B023_68C6496D556B_.wvu.PrintArea" localSheetId="7" hidden="1">доходы!$A$1:$G$21</definedName>
    <definedName name="Z_F10E3D8B_5892_420A_B023_68C6496D556B_.wvu.PrintArea" localSheetId="3" hidden="1">'Заголовочная часть АУ'!$A$1:$J$47</definedName>
    <definedName name="Z_F10E3D8B_5892_420A_B023_68C6496D556B_.wvu.PrintArea" localSheetId="100" hidden="1">'Личные расходы'!$A$3:$K$14</definedName>
    <definedName name="Z_F10E3D8B_5892_420A_B023_68C6496D556B_.wvu.PrintArea" localSheetId="82" hidden="1">'Мягкий инв.ОБЩ'!$A$2:$F$28</definedName>
    <definedName name="Z_F10E3D8B_5892_420A_B023_68C6496D556B_.wvu.PrintArea" localSheetId="41" hidden="1">'Мягкий инв2018'!$A$1:$K$71</definedName>
    <definedName name="Z_F10E3D8B_5892_420A_B023_68C6496D556B_.wvu.PrintArea" localSheetId="2" hidden="1">'ПР.1 Заголовочная часть БУ'!$A$1:$J$50</definedName>
    <definedName name="Z_F10E3D8B_5892_420A_B023_68C6496D556B_.wvu.PrintArea" localSheetId="11" hidden="1">'Приложение 2'!$A$1:$FK$56</definedName>
    <definedName name="Z_F10E3D8B_5892_420A_B023_68C6496D556B_.wvu.PrintArea" localSheetId="101" hidden="1">путевки!$A$1:$G$16</definedName>
    <definedName name="Z_F10E3D8B_5892_420A_B023_68C6496D556B_.wvu.PrintArea" localSheetId="6" hidden="1">'Таблица № 2'!$A$1:$J$267</definedName>
    <definedName name="Z_F10E3D8B_5892_420A_B023_68C6496D556B_.wvu.PrintArea" localSheetId="5" hidden="1">'Таблица №1'!$A$1:$C$29</definedName>
    <definedName name="Z_F10E3D8B_5892_420A_B023_68C6496D556B_.wvu.PrintArea" localSheetId="9" hidden="1">'Таблицы №№ 4,5 (2)'!$A$1:$C$31</definedName>
    <definedName name="Z_F10E3D8B_5892_420A_B023_68C6496D556B_.wvu.PrintTitles" localSheetId="88" hidden="1">ПИТАНИЕ!$A:$J</definedName>
    <definedName name="Z_F10E3D8B_5892_420A_B023_68C6496D556B_.wvu.PrintTitles" localSheetId="71" hidden="1">'ПНО  2018'!$5:$6</definedName>
    <definedName name="Z_F10E3D8B_5892_420A_B023_68C6496D556B_.wvu.PrintTitles" localSheetId="73" hidden="1">'ПНО  2019'!$5:$6</definedName>
    <definedName name="Z_F10E3D8B_5892_420A_B023_68C6496D556B_.wvu.PrintTitles" localSheetId="75" hidden="1">'ПНО  2020'!$5:$6</definedName>
    <definedName name="Z_F10E3D8B_5892_420A_B023_68C6496D556B_.wvu.PrintTitles" localSheetId="6" hidden="1">'Таблица № 2'!$4:$8</definedName>
    <definedName name="Z_F10E3D8B_5892_420A_B023_68C6496D556B_.wvu.Rows" localSheetId="99" hidden="1">'Врем. передача '!$5:$5,'Врем. передача '!$14:$14</definedName>
    <definedName name="Z_F10E3D8B_5892_420A_B023_68C6496D556B_.wvu.Rows" localSheetId="3" hidden="1">'Заголовочная часть АУ'!$304:$307,'Заголовочная часть АУ'!$548:$551</definedName>
    <definedName name="Z_F10E3D8B_5892_420A_B023_68C6496D556B_.wvu.Rows" localSheetId="2" hidden="1">'ПР.1 Заголовочная часть БУ'!$307:$310,'ПР.1 Заголовочная часть БУ'!$551:$554</definedName>
    <definedName name="Z_F10E3D8B_5892_420A_B023_68C6496D556B_.wvu.Rows" localSheetId="5" hidden="1">'Таблица №1'!$1:$1</definedName>
    <definedName name="Z_FE7E58EF_FECC_4DF6_BB75_BA97138CB219_.wvu.Cols" localSheetId="7" hidden="1">доходы!$I:$I</definedName>
    <definedName name="Z_FE7E58EF_FECC_4DF6_BB75_BA97138CB219_.wvu.Cols" localSheetId="0" hidden="1">'Приложение 4'!$M:$M</definedName>
    <definedName name="Z_FE7E58EF_FECC_4DF6_BB75_BA97138CB219_.wvu.FilterData" localSheetId="44" hidden="1">'спецодежда(2018) '!$A$6:$K$53</definedName>
    <definedName name="Z_FE7E58EF_FECC_4DF6_BB75_BA97138CB219_.wvu.PrintArea" localSheetId="21" hidden="1">'213 '!$A$1:$D$26</definedName>
    <definedName name="Z_FE7E58EF_FECC_4DF6_BB75_BA97138CB219_.wvu.PrintArea" localSheetId="23" hidden="1">'221'!$A$1:$G$22</definedName>
    <definedName name="Z_FE7E58EF_FECC_4DF6_BB75_BA97138CB219_.wvu.PrintArea" localSheetId="25" hidden="1">'223 свод'!$A$1:$G$13</definedName>
    <definedName name="Z_FE7E58EF_FECC_4DF6_BB75_BA97138CB219_.wvu.PrintArea" localSheetId="27" hidden="1">'224'!$A$1:$F$11</definedName>
    <definedName name="Z_FE7E58EF_FECC_4DF6_BB75_BA97138CB219_.wvu.PrintArea" localSheetId="60" hidden="1">'290 ВР 852 ( госпош)'!$A$1:$O$21</definedName>
    <definedName name="Z_FE7E58EF_FECC_4DF6_BB75_BA97138CB219_.wvu.PrintArea" localSheetId="59" hidden="1">'290 налоги ВР 853'!$A$1:$O$21</definedName>
    <definedName name="Z_FE7E58EF_FECC_4DF6_BB75_BA97138CB219_.wvu.PrintArea" localSheetId="83" hidden="1">'290 прочее'!$A$1:$P$19</definedName>
    <definedName name="Z_FE7E58EF_FECC_4DF6_BB75_BA97138CB219_.wvu.PrintArea" localSheetId="66" hidden="1">'310'!$A$2:$I$21</definedName>
    <definedName name="Z_FE7E58EF_FECC_4DF6_BB75_BA97138CB219_.wvu.PrintArea" localSheetId="70" hidden="1">'310 АТ'!$A$1:$E$16</definedName>
    <definedName name="Z_FE7E58EF_FECC_4DF6_BB75_BA97138CB219_.wvu.PrintArea" localSheetId="93" hidden="1">'78 (2)'!$A$1:$D$12</definedName>
    <definedName name="Z_FE7E58EF_FECC_4DF6_BB75_BA97138CB219_.wvu.PrintArea" localSheetId="94" hidden="1">'78 (3)'!$A$1:$D$12</definedName>
    <definedName name="Z_FE7E58EF_FECC_4DF6_BB75_BA97138CB219_.wvu.PrintArea" localSheetId="12" hidden="1">'ВР 211'!$A$1:$N$43</definedName>
    <definedName name="Z_FE7E58EF_FECC_4DF6_BB75_BA97138CB219_.wvu.PrintArea" localSheetId="99" hidden="1">'Врем. передача '!$A$3:$H$29</definedName>
    <definedName name="Z_FE7E58EF_FECC_4DF6_BB75_BA97138CB219_.wvu.PrintArea" localSheetId="7" hidden="1">доходы!$A$1:$G$21</definedName>
    <definedName name="Z_FE7E58EF_FECC_4DF6_BB75_BA97138CB219_.wvu.PrintArea" localSheetId="3" hidden="1">'Заголовочная часть АУ'!$A$1:$J$47</definedName>
    <definedName name="Z_FE7E58EF_FECC_4DF6_BB75_BA97138CB219_.wvu.PrintArea" localSheetId="100" hidden="1">'Личные расходы'!$A$3:$K$14</definedName>
    <definedName name="Z_FE7E58EF_FECC_4DF6_BB75_BA97138CB219_.wvu.PrintArea" localSheetId="82" hidden="1">'Мягкий инв.ОБЩ'!$A$2:$F$28</definedName>
    <definedName name="Z_FE7E58EF_FECC_4DF6_BB75_BA97138CB219_.wvu.PrintArea" localSheetId="41" hidden="1">'Мягкий инв2018'!$A$1:$K$71</definedName>
    <definedName name="Z_FE7E58EF_FECC_4DF6_BB75_BA97138CB219_.wvu.PrintArea" localSheetId="2" hidden="1">'ПР.1 Заголовочная часть БУ'!$A$1:$J$50</definedName>
    <definedName name="Z_FE7E58EF_FECC_4DF6_BB75_BA97138CB219_.wvu.PrintArea" localSheetId="11" hidden="1">'Приложение 2'!$A$1:$FK$56</definedName>
    <definedName name="Z_FE7E58EF_FECC_4DF6_BB75_BA97138CB219_.wvu.PrintArea" localSheetId="101" hidden="1">путевки!$A$1:$G$16</definedName>
    <definedName name="Z_FE7E58EF_FECC_4DF6_BB75_BA97138CB219_.wvu.PrintArea" localSheetId="6" hidden="1">'Таблица № 2'!$A$1:$J$268</definedName>
    <definedName name="Z_FE7E58EF_FECC_4DF6_BB75_BA97138CB219_.wvu.PrintArea" localSheetId="5" hidden="1">'Таблица №1'!$A$1:$C$29</definedName>
    <definedName name="Z_FE7E58EF_FECC_4DF6_BB75_BA97138CB219_.wvu.PrintArea" localSheetId="9" hidden="1">'Таблицы №№ 4,5 (2)'!$A$1:$C$31</definedName>
    <definedName name="Z_FE7E58EF_FECC_4DF6_BB75_BA97138CB219_.wvu.PrintTitles" localSheetId="88" hidden="1">ПИТАНИЕ!$A:$J</definedName>
    <definedName name="Z_FE7E58EF_FECC_4DF6_BB75_BA97138CB219_.wvu.PrintTitles" localSheetId="71" hidden="1">'ПНО  2018'!$5:$6</definedName>
    <definedName name="Z_FE7E58EF_FECC_4DF6_BB75_BA97138CB219_.wvu.PrintTitles" localSheetId="73" hidden="1">'ПНО  2019'!$5:$6</definedName>
    <definedName name="Z_FE7E58EF_FECC_4DF6_BB75_BA97138CB219_.wvu.PrintTitles" localSheetId="75" hidden="1">'ПНО  2020'!$5:$6</definedName>
    <definedName name="Z_FE7E58EF_FECC_4DF6_BB75_BA97138CB219_.wvu.Rows" localSheetId="99" hidden="1">'Врем. передача '!$5:$5,'Врем. передача '!$14:$14</definedName>
    <definedName name="Z_FE7E58EF_FECC_4DF6_BB75_BA97138CB219_.wvu.Rows" localSheetId="3" hidden="1">'Заголовочная часть АУ'!$304:$307,'Заголовочная часть АУ'!$548:$551</definedName>
    <definedName name="Z_FE7E58EF_FECC_4DF6_BB75_BA97138CB219_.wvu.Rows" localSheetId="2" hidden="1">'ПР.1 Заголовочная часть БУ'!$307:$310,'ПР.1 Заголовочная часть БУ'!$551:$554</definedName>
    <definedName name="Z_FE7E58EF_FECC_4DF6_BB75_BA97138CB219_.wvu.Rows" localSheetId="5" hidden="1">'Таблица №1'!$1:$1</definedName>
    <definedName name="А" localSheetId="19">#REF!</definedName>
    <definedName name="А" localSheetId="20">#REF!</definedName>
    <definedName name="А" localSheetId="21">#REF!</definedName>
    <definedName name="А" localSheetId="25">#REF!</definedName>
    <definedName name="А" localSheetId="27">#REF!</definedName>
    <definedName name="А" localSheetId="28">#REF!</definedName>
    <definedName name="А" localSheetId="29">#REF!</definedName>
    <definedName name="А" localSheetId="68">#REF!</definedName>
    <definedName name="А" localSheetId="31">#REF!</definedName>
    <definedName name="А" localSheetId="30">#REF!</definedName>
    <definedName name="А" localSheetId="32">#REF!</definedName>
    <definedName name="А" localSheetId="69">#REF!</definedName>
    <definedName name="А" localSheetId="33">#REF!</definedName>
    <definedName name="А" localSheetId="59">#REF!</definedName>
    <definedName name="А" localSheetId="39">#REF!</definedName>
    <definedName name="А" localSheetId="54">#REF!</definedName>
    <definedName name="А" localSheetId="53">#REF!</definedName>
    <definedName name="А" localSheetId="58">#REF!</definedName>
    <definedName name="А" localSheetId="57">#REF!</definedName>
    <definedName name="А" localSheetId="52">#REF!</definedName>
    <definedName name="А" localSheetId="51">#REF!</definedName>
    <definedName name="А" localSheetId="56">#REF!</definedName>
    <definedName name="А" localSheetId="55">#REF!</definedName>
    <definedName name="А" localSheetId="34">#REF!</definedName>
    <definedName name="А" localSheetId="35">#REF!</definedName>
    <definedName name="А" localSheetId="36">#REF!</definedName>
    <definedName name="А" localSheetId="93">#REF!</definedName>
    <definedName name="А" localSheetId="94">#REF!</definedName>
    <definedName name="А" localSheetId="96">#REF!</definedName>
    <definedName name="А" localSheetId="73">#REF!</definedName>
    <definedName name="А" localSheetId="75">#REF!</definedName>
    <definedName name="А" localSheetId="74">#REF!</definedName>
    <definedName name="А" localSheetId="76">#REF!</definedName>
    <definedName name="А" localSheetId="6">#REF!</definedName>
    <definedName name="А" localSheetId="9">#REF!</definedName>
    <definedName name="А" localSheetId="65">#REF!</definedName>
    <definedName name="А" localSheetId="61">#REF!</definedName>
    <definedName name="А" localSheetId="63">#REF!</definedName>
    <definedName name="А" localSheetId="64">#REF!</definedName>
    <definedName name="А">#REF!</definedName>
    <definedName name="а18" localSheetId="17">#REF!</definedName>
    <definedName name="а18" localSheetId="20">#REF!</definedName>
    <definedName name="а18" localSheetId="21">#REF!</definedName>
    <definedName name="а18" localSheetId="25">#REF!</definedName>
    <definedName name="а18" localSheetId="28">#REF!</definedName>
    <definedName name="а18" localSheetId="29">#REF!</definedName>
    <definedName name="а18" localSheetId="68">#REF!</definedName>
    <definedName name="а18" localSheetId="31">#REF!</definedName>
    <definedName name="а18" localSheetId="39">#REF!</definedName>
    <definedName name="а18" localSheetId="54">#REF!</definedName>
    <definedName name="а18" localSheetId="53">#REF!</definedName>
    <definedName name="а18" localSheetId="58">#REF!</definedName>
    <definedName name="а18" localSheetId="57">#REF!</definedName>
    <definedName name="а18" localSheetId="52">#REF!</definedName>
    <definedName name="а18" localSheetId="51">#REF!</definedName>
    <definedName name="а18" localSheetId="56">#REF!</definedName>
    <definedName name="а18" localSheetId="55">#REF!</definedName>
    <definedName name="а18" localSheetId="34">#REF!</definedName>
    <definedName name="а18" localSheetId="35">#REF!</definedName>
    <definedName name="а18" localSheetId="36">#REF!</definedName>
    <definedName name="а18" localSheetId="14">#REF!</definedName>
    <definedName name="а18" localSheetId="16">#REF!</definedName>
    <definedName name="а18" localSheetId="73">#REF!</definedName>
    <definedName name="а18" localSheetId="75">#REF!</definedName>
    <definedName name="а18" localSheetId="15">#REF!</definedName>
    <definedName name="а18" localSheetId="74">#REF!</definedName>
    <definedName name="а18" localSheetId="76">#REF!</definedName>
    <definedName name="а18" localSheetId="9">#REF!</definedName>
    <definedName name="а18" localSheetId="65">#REF!</definedName>
    <definedName name="а18" localSheetId="63">#REF!</definedName>
    <definedName name="а18" localSheetId="64">#REF!</definedName>
    <definedName name="а18">#REF!</definedName>
    <definedName name="б" localSheetId="20">#REF!</definedName>
    <definedName name="б" localSheetId="21">#REF!</definedName>
    <definedName name="б" localSheetId="29">#REF!</definedName>
    <definedName name="б" localSheetId="68">#REF!</definedName>
    <definedName name="б" localSheetId="31">#REF!</definedName>
    <definedName name="б" localSheetId="39">#REF!</definedName>
    <definedName name="б" localSheetId="54">#REF!</definedName>
    <definedName name="б" localSheetId="53">#REF!</definedName>
    <definedName name="б" localSheetId="58">#REF!</definedName>
    <definedName name="б" localSheetId="57">#REF!</definedName>
    <definedName name="б" localSheetId="52">#REF!</definedName>
    <definedName name="б" localSheetId="51">#REF!</definedName>
    <definedName name="б" localSheetId="56">#REF!</definedName>
    <definedName name="б" localSheetId="55">#REF!</definedName>
    <definedName name="б" localSheetId="35">#REF!</definedName>
    <definedName name="б" localSheetId="36">#REF!</definedName>
    <definedName name="б" localSheetId="73">#REF!</definedName>
    <definedName name="б" localSheetId="75">#REF!</definedName>
    <definedName name="б" localSheetId="74">#REF!</definedName>
    <definedName name="б" localSheetId="76">#REF!</definedName>
    <definedName name="б" localSheetId="9">#REF!</definedName>
    <definedName name="б" localSheetId="65">#REF!</definedName>
    <definedName name="б" localSheetId="63">#REF!</definedName>
    <definedName name="б" localSheetId="64">#REF!</definedName>
    <definedName name="б">#REF!</definedName>
    <definedName name="_xlnm.Print_Titles" localSheetId="45">' спецодежда (2019-20)'!$5:$7</definedName>
    <definedName name="_xlnm.Print_Titles" localSheetId="26">'223'!$4:$8</definedName>
    <definedName name="_xlnm.Print_Titles" localSheetId="28">'225 ( 2018) '!$8:$9</definedName>
    <definedName name="_xlnm.Print_Titles" localSheetId="29">'225 ( 2019-20)'!$8:$9</definedName>
    <definedName name="_xlnm.Print_Titles" localSheetId="68">'225ЦС'!$10:$11</definedName>
    <definedName name="_xlnm.Print_Titles" localSheetId="31">'226  (2019-20)'!$5:$6</definedName>
    <definedName name="_xlnm.Print_Titles" localSheetId="30">'226 ( 2018)  '!$5:$6</definedName>
    <definedName name="_xlnm.Print_Titles" localSheetId="69">'226 ЦС'!$10:$11</definedName>
    <definedName name="_xlnm.Print_Titles" localSheetId="33">'226медосмотр'!$5:$6</definedName>
    <definedName name="_xlnm.Print_Titles" localSheetId="14">'ВР211(т.2.1) штат. 01.01.18'!$38:$40</definedName>
    <definedName name="_xlnm.Print_Titles" localSheetId="46">'дети с ОВЗ'!$A:$H</definedName>
    <definedName name="_xlnm.Print_Titles" localSheetId="88">ПИТАНИЕ!$A:$J</definedName>
    <definedName name="_xlnm.Print_Titles" localSheetId="71">'ПНО  2018'!$5:$6</definedName>
    <definedName name="_xlnm.Print_Titles" localSheetId="73">'ПНО  2019'!$5:$6</definedName>
    <definedName name="_xlnm.Print_Titles" localSheetId="75">'ПНО  2020'!$5:$6</definedName>
    <definedName name="_xlnm.Print_Titles" localSheetId="0">'Приложение 4'!$10:$13</definedName>
    <definedName name="_xlnm.Print_Titles" localSheetId="6">'Таблица № 2'!$4:$8</definedName>
    <definedName name="индекс_У" localSheetId="19">#REF!</definedName>
    <definedName name="индекс_У" localSheetId="20">#REF!</definedName>
    <definedName name="индекс_У" localSheetId="21">#REF!</definedName>
    <definedName name="индекс_У" localSheetId="25">#REF!</definedName>
    <definedName name="индекс_У" localSheetId="27">#REF!</definedName>
    <definedName name="индекс_У" localSheetId="28">#REF!</definedName>
    <definedName name="индекс_У" localSheetId="29">#REF!</definedName>
    <definedName name="индекс_У" localSheetId="68">#REF!</definedName>
    <definedName name="индекс_У" localSheetId="31">#REF!</definedName>
    <definedName name="индекс_У" localSheetId="30">#REF!</definedName>
    <definedName name="индекс_У" localSheetId="32">#REF!</definedName>
    <definedName name="индекс_У" localSheetId="69">#REF!</definedName>
    <definedName name="индекс_У" localSheetId="33">#REF!</definedName>
    <definedName name="индекс_У" localSheetId="59">#REF!</definedName>
    <definedName name="индекс_У" localSheetId="83">#REF!</definedName>
    <definedName name="индекс_У" localSheetId="67">#REF!</definedName>
    <definedName name="индекс_У" localSheetId="39">#REF!</definedName>
    <definedName name="индекс_У" localSheetId="81">#REF!</definedName>
    <definedName name="индекс_У" localSheetId="54">#REF!</definedName>
    <definedName name="индекс_У" localSheetId="53">#REF!</definedName>
    <definedName name="индекс_У" localSheetId="58">#REF!</definedName>
    <definedName name="индекс_У" localSheetId="57">#REF!</definedName>
    <definedName name="индекс_У" localSheetId="52">#REF!</definedName>
    <definedName name="индекс_У" localSheetId="51">#REF!</definedName>
    <definedName name="индекс_У" localSheetId="56">#REF!</definedName>
    <definedName name="индекс_У" localSheetId="55">#REF!</definedName>
    <definedName name="индекс_У" localSheetId="34">#REF!</definedName>
    <definedName name="индекс_У" localSheetId="35">#REF!</definedName>
    <definedName name="индекс_У" localSheetId="36">#REF!</definedName>
    <definedName name="индекс_У" localSheetId="93">#REF!</definedName>
    <definedName name="индекс_У" localSheetId="94">#REF!</definedName>
    <definedName name="индекс_У" localSheetId="96">#REF!</definedName>
    <definedName name="индекс_У" localSheetId="82">#REF!</definedName>
    <definedName name="индекс_У" localSheetId="73">#REF!</definedName>
    <definedName name="индекс_У" localSheetId="75">#REF!</definedName>
    <definedName name="индекс_У" localSheetId="101">#REF!</definedName>
    <definedName name="индекс_У" localSheetId="74">#REF!</definedName>
    <definedName name="индекс_У" localSheetId="76">#REF!</definedName>
    <definedName name="индекс_У" localSheetId="6">#REF!</definedName>
    <definedName name="индекс_У" localSheetId="9">#REF!</definedName>
    <definedName name="индекс_У" localSheetId="65">#REF!</definedName>
    <definedName name="индекс_У" localSheetId="61">#REF!</definedName>
    <definedName name="индекс_У" localSheetId="63">#REF!</definedName>
    <definedName name="индекс_У" localSheetId="64">#REF!</definedName>
    <definedName name="индекс_У">#REF!</definedName>
    <definedName name="КТС" localSheetId="19">#REF!</definedName>
    <definedName name="КТС" localSheetId="20">#REF!</definedName>
    <definedName name="КТС" localSheetId="21">#REF!</definedName>
    <definedName name="КТС" localSheetId="25">#REF!</definedName>
    <definedName name="КТС" localSheetId="27">#REF!</definedName>
    <definedName name="КТС" localSheetId="28">#REF!</definedName>
    <definedName name="КТС" localSheetId="29">#REF!</definedName>
    <definedName name="КТС" localSheetId="68">#REF!</definedName>
    <definedName name="КТС" localSheetId="31">#REF!</definedName>
    <definedName name="КТС" localSheetId="30">#REF!</definedName>
    <definedName name="КТС" localSheetId="32">#REF!</definedName>
    <definedName name="КТС" localSheetId="69">#REF!</definedName>
    <definedName name="КТС" localSheetId="33">#REF!</definedName>
    <definedName name="КТС" localSheetId="59">#REF!</definedName>
    <definedName name="КТС" localSheetId="83">#REF!</definedName>
    <definedName name="КТС" localSheetId="39">#REF!</definedName>
    <definedName name="КТС" localSheetId="81">#REF!</definedName>
    <definedName name="КТС" localSheetId="54">#REF!</definedName>
    <definedName name="КТС" localSheetId="53">#REF!</definedName>
    <definedName name="КТС" localSheetId="58">#REF!</definedName>
    <definedName name="КТС" localSheetId="57">#REF!</definedName>
    <definedName name="КТС" localSheetId="52">#REF!</definedName>
    <definedName name="КТС" localSheetId="51">#REF!</definedName>
    <definedName name="КТС" localSheetId="56">#REF!</definedName>
    <definedName name="КТС" localSheetId="55">#REF!</definedName>
    <definedName name="КТС" localSheetId="34">#REF!</definedName>
    <definedName name="КТС" localSheetId="35">#REF!</definedName>
    <definedName name="КТС" localSheetId="36">#REF!</definedName>
    <definedName name="КТС" localSheetId="93">#REF!</definedName>
    <definedName name="КТС" localSheetId="94">#REF!</definedName>
    <definedName name="КТС" localSheetId="96">#REF!</definedName>
    <definedName name="КТС" localSheetId="82">#REF!</definedName>
    <definedName name="КТС" localSheetId="73">#REF!</definedName>
    <definedName name="КТС" localSheetId="75">#REF!</definedName>
    <definedName name="КТС" localSheetId="74">#REF!</definedName>
    <definedName name="КТС" localSheetId="76">#REF!</definedName>
    <definedName name="КТС" localSheetId="6">#REF!</definedName>
    <definedName name="КТС" localSheetId="9">#REF!</definedName>
    <definedName name="КТС" localSheetId="65">#REF!</definedName>
    <definedName name="КТС" localSheetId="61">#REF!</definedName>
    <definedName name="КТС" localSheetId="63">#REF!</definedName>
    <definedName name="КТС" localSheetId="64">#REF!</definedName>
    <definedName name="КТС">#REF!</definedName>
    <definedName name="_xlnm.Print_Area" localSheetId="22">'(213 расчет )'!$A$1:$I$40</definedName>
    <definedName name="_xlnm.Print_Area" localSheetId="17">'(таб2.2)расчет  с 01.01.18'!$A$1:$D$102</definedName>
    <definedName name="_xlnm.Print_Area" localSheetId="13">'211 фонд'!$A$1:$D$93</definedName>
    <definedName name="_xlnm.Print_Area" localSheetId="19">'212 пособие ( 2018) '!$A$1:$F$19</definedName>
    <definedName name="_xlnm.Print_Area" localSheetId="20">'212 пособие ( 2019-20)'!$A$1:$F$19</definedName>
    <definedName name="_xlnm.Print_Area" localSheetId="21">'213 '!$A$1:$D$36</definedName>
    <definedName name="_xlnm.Print_Area" localSheetId="23">'221'!$A$1:$G$32</definedName>
    <definedName name="_xlnm.Print_Area" localSheetId="24">'222'!$A$1:$F$17</definedName>
    <definedName name="_xlnm.Print_Area" localSheetId="25">'223 свод'!$A$1:$G$19</definedName>
    <definedName name="_xlnm.Print_Area" localSheetId="27">'224'!$A$1:$F$18</definedName>
    <definedName name="_xlnm.Print_Area" localSheetId="28">'225 ( 2018) '!$A$1:$D$30</definedName>
    <definedName name="_xlnm.Print_Area" localSheetId="29">'225 ( 2019-20)'!$A$1:$D$29</definedName>
    <definedName name="_xlnm.Print_Area" localSheetId="68">'225ЦС'!$A$1:$D$20</definedName>
    <definedName name="_xlnm.Print_Area" localSheetId="31">'226  (2019-20)'!$A$1:$D$22</definedName>
    <definedName name="_xlnm.Print_Area" localSheetId="30">'226 ( 2018)  '!$A$1:$D$25</definedName>
    <definedName name="_xlnm.Print_Area" localSheetId="32">'226 осаго '!$A$1:$I$19</definedName>
    <definedName name="_xlnm.Print_Area" localSheetId="69">'226 ЦС'!$A$1:$D$21</definedName>
    <definedName name="_xlnm.Print_Area" localSheetId="33">'226медосмотр'!$A$1:$F$40</definedName>
    <definedName name="_xlnm.Print_Area" localSheetId="60">'290 ВР 852 ( госпош)'!$A$1:$O$26</definedName>
    <definedName name="_xlnm.Print_Area" localSheetId="59">'290 налоги ВР 853'!$A$1:$O$26</definedName>
    <definedName name="_xlnm.Print_Area" localSheetId="83">'290 прочее'!$A$1:$P$24</definedName>
    <definedName name="_xlnm.Print_Area" localSheetId="66">'310'!$A$1:$I$26</definedName>
    <definedName name="_xlnm.Print_Area" localSheetId="70">'310 АТ'!$A$1:$E$21</definedName>
    <definedName name="_xlnm.Print_Area" localSheetId="67">'310 учеб.'!$A$1:$Q$31</definedName>
    <definedName name="_xlnm.Print_Area" localSheetId="38">'340  мат.запасы 2019'!$A$1:$F$273</definedName>
    <definedName name="_xlnm.Print_Area" localSheetId="39">'340  мат.запасы 2020'!$A$1:$F$273</definedName>
    <definedName name="_xlnm.Print_Area" localSheetId="40">'340 гсм'!$A$1:$L$63</definedName>
    <definedName name="_xlnm.Print_Area" localSheetId="37">'340 мат. запасы 2018'!$A$1:$F$276</definedName>
    <definedName name="_xlnm.Print_Area" localSheetId="50">'340 пит интер 2018 ( 11-18)'!$A$1:$F$42</definedName>
    <definedName name="_xlnm.Print_Area" localSheetId="49">'340 пит интер 2018 ( 7-10)'!$A$1:$F$42</definedName>
    <definedName name="_xlnm.Print_Area" localSheetId="54">'340 пит интер 2019 ( 11-18) '!$A$1:$F$42</definedName>
    <definedName name="_xlnm.Print_Area" localSheetId="53">'340 пит интер 2019 ( 7-10)'!$A$1:$F$42</definedName>
    <definedName name="_xlnm.Print_Area" localSheetId="58">'340 пит интер 2020 ( 11-18)'!$A$1:$F$42</definedName>
    <definedName name="_xlnm.Print_Area" localSheetId="57">'340 пит интер 2020 ( 7-10) '!$A$1:$F$42</definedName>
    <definedName name="_xlnm.Print_Area" localSheetId="48">'340 пит прих 2018(11-18)'!$A$1:$F$42</definedName>
    <definedName name="_xlnm.Print_Area" localSheetId="47">'340 пит прих 2018(7-10)'!$A$1:$F$42</definedName>
    <definedName name="_xlnm.Print_Area" localSheetId="52">'340 пит прих 2019(11-18) '!$A$1:$F$42</definedName>
    <definedName name="_xlnm.Print_Area" localSheetId="51">'340 пит прих 2019(7-10)'!$A$1:$F$42</definedName>
    <definedName name="_xlnm.Print_Area" localSheetId="56">'340 пит прих 2020(11-18)'!$A$1:$F$42</definedName>
    <definedName name="_xlnm.Print_Area" localSheetId="55">'340 пит прих 2020(7-10)'!$A$1:$F$42</definedName>
    <definedName name="_xlnm.Print_Area" localSheetId="34">'340 свод 2018 '!$A$1:$C$32</definedName>
    <definedName name="_xlnm.Print_Area" localSheetId="35">'340 свод 2019'!$A$1:$C$32</definedName>
    <definedName name="_xlnm.Print_Area" localSheetId="36">'340 свод 2020'!$A$1:$C$32</definedName>
    <definedName name="_xlnm.Print_Area" localSheetId="93">'78 (2)'!$A$1:$D$18</definedName>
    <definedName name="_xlnm.Print_Area" localSheetId="94">'78 (3)'!$A$1:$D$19</definedName>
    <definedName name="_xlnm.Print_Area" localSheetId="12">'ВР 211'!$A$1:$O$40</definedName>
    <definedName name="_xlnm.Print_Area" localSheetId="14">'ВР211(т.2.1) штат. 01.01.18'!$A$1:$Q$156</definedName>
    <definedName name="_xlnm.Print_Area" localSheetId="99">'Врем. передача '!$A$1:$H$29</definedName>
    <definedName name="_xlnm.Print_Area" localSheetId="46">'дети с ОВЗ'!$A$1:$L$47</definedName>
    <definedName name="_xlnm.Print_Area" localSheetId="7">доходы!$A$1:$G$27</definedName>
    <definedName name="_xlnm.Print_Area" localSheetId="3">'Заголовочная часть АУ'!$A$1:$J$47</definedName>
    <definedName name="_xlnm.Print_Area" localSheetId="100">'Личные расходы'!$A$1:$K$19</definedName>
    <definedName name="_xlnm.Print_Area" localSheetId="82">'Мягкий инв.ОБЩ'!$A$2:$F$28</definedName>
    <definedName name="_xlnm.Print_Area" localSheetId="41">'Мягкий инв2018'!$A$1:$K$69</definedName>
    <definedName name="_xlnm.Print_Area" localSheetId="2">'ПР.1 Заголовочная часть БУ'!$A$1:$J$50</definedName>
    <definedName name="_xlnm.Print_Area" localSheetId="11">'Приложение 2'!$A$1:$FK$56</definedName>
    <definedName name="_xlnm.Print_Area" localSheetId="0">'Приложение 4'!$A$1:$K$81</definedName>
    <definedName name="_xlnm.Print_Area" localSheetId="1">'Приложение 5'!$A$1:$E$15</definedName>
    <definedName name="_xlnm.Print_Area" localSheetId="101">путевки!$A$1:$G$16</definedName>
    <definedName name="_xlnm.Print_Area" localSheetId="6">'Таблица № 2'!$A$1:$J$268</definedName>
    <definedName name="_xlnm.Print_Area" localSheetId="5">'Таблица №1'!$A$1:$C$29</definedName>
    <definedName name="_xlnm.Print_Area" localSheetId="9">'Таблицы №№ 4,5 (2)'!$A$1:$C$31</definedName>
    <definedName name="_xlnm.Print_Area" localSheetId="62">'ЦС ( 2018) '!$A$1:$F$25</definedName>
    <definedName name="_xlnm.Print_Area" localSheetId="65">'ЦС ( 2019-20)'!$A$1:$F$24</definedName>
    <definedName name="оклады">[1]оклады!$B$12:$S$13</definedName>
    <definedName name="п" localSheetId="20">#REF!</definedName>
    <definedName name="п" localSheetId="21">#REF!</definedName>
    <definedName name="п" localSheetId="25">#REF!</definedName>
    <definedName name="п" localSheetId="27">#REF!</definedName>
    <definedName name="п" localSheetId="28">#REF!</definedName>
    <definedName name="п" localSheetId="29">#REF!</definedName>
    <definedName name="п" localSheetId="68">#REF!</definedName>
    <definedName name="п" localSheetId="31">#REF!</definedName>
    <definedName name="п" localSheetId="30">#REF!</definedName>
    <definedName name="п" localSheetId="32">#REF!</definedName>
    <definedName name="п" localSheetId="69">#REF!</definedName>
    <definedName name="п" localSheetId="33">#REF!</definedName>
    <definedName name="п" localSheetId="59">#REF!</definedName>
    <definedName name="п" localSheetId="39">#REF!</definedName>
    <definedName name="п" localSheetId="54">#REF!</definedName>
    <definedName name="п" localSheetId="53">#REF!</definedName>
    <definedName name="п" localSheetId="58">#REF!</definedName>
    <definedName name="п" localSheetId="57">#REF!</definedName>
    <definedName name="п" localSheetId="52">#REF!</definedName>
    <definedName name="п" localSheetId="51">#REF!</definedName>
    <definedName name="п" localSheetId="56">#REF!</definedName>
    <definedName name="п" localSheetId="55">#REF!</definedName>
    <definedName name="п" localSheetId="34">#REF!</definedName>
    <definedName name="п" localSheetId="35">#REF!</definedName>
    <definedName name="п" localSheetId="36">#REF!</definedName>
    <definedName name="п" localSheetId="96">#REF!</definedName>
    <definedName name="п" localSheetId="73">#REF!</definedName>
    <definedName name="п" localSheetId="75">#REF!</definedName>
    <definedName name="п" localSheetId="74">#REF!</definedName>
    <definedName name="п" localSheetId="76">#REF!</definedName>
    <definedName name="п" localSheetId="6">#REF!</definedName>
    <definedName name="п" localSheetId="9">#REF!</definedName>
    <definedName name="п" localSheetId="65">#REF!</definedName>
    <definedName name="п" localSheetId="61">#REF!</definedName>
    <definedName name="п" localSheetId="63">#REF!</definedName>
    <definedName name="п" localSheetId="64">#REF!</definedName>
    <definedName name="п">#REF!</definedName>
  </definedNames>
  <calcPr calcId="114210" fullCalcOnLoad="1"/>
  <customWorkbookViews>
    <customWorkbookView name="kazina - Личное представление" guid="{CA0FB9E2-E541-4C74-BCFE-D75491869B36}" mergeInterval="0" personalView="1" maximized="1" xWindow="1" yWindow="1" windowWidth="1020" windowHeight="548" tabRatio="926" activeSheetId="5"/>
    <customWorkbookView name="galinskaya - Личное представление" guid="{F10E3D8B-5892-420A-B023-68C6496D556B}" mergeInterval="0" personalView="1" maximized="1" xWindow="1" yWindow="1" windowWidth="1276" windowHeight="804" tabRatio="926" activeSheetId="5"/>
    <customWorkbookView name="kokin - Личное представление" guid="{FE7E58EF-FECC-4DF6-BB75-BA97138CB219}" mergeInterval="0" personalView="1" maximized="1" xWindow="1" yWindow="1" windowWidth="1916" windowHeight="804" tabRatio="926" activeSheetId="4"/>
    <customWorkbookView name="auv - Личное представление" guid="{43136B00-66C6-4289-99D3-5EF20611F834}" mergeInterval="0" personalView="1" maximized="1" xWindow="1" yWindow="1" windowWidth="1916" windowHeight="846" tabRatio="926" activeSheetId="9"/>
    <customWorkbookView name="volkova - Личное представление" guid="{22820B9F-10DE-4629-AF3D-4AF98A9BCEDB}" mergeInterval="0" personalView="1" maximized="1" xWindow="1" yWindow="1" windowWidth="1680" windowHeight="820" tabRatio="926" activeSheetId="5" showComments="commIndAndComment"/>
  </customWorkbookViews>
</workbook>
</file>

<file path=xl/calcChain.xml><?xml version="1.0" encoding="utf-8"?>
<calcChain xmlns="http://schemas.openxmlformats.org/spreadsheetml/2006/main">
  <c r="E11" i="120"/>
  <c r="E10"/>
  <c r="E11" i="119"/>
  <c r="E10"/>
  <c r="E21" i="118"/>
  <c r="E20"/>
  <c r="E19"/>
  <c r="E17"/>
  <c r="E15"/>
  <c r="E14"/>
  <c r="E12"/>
  <c r="E11"/>
  <c r="E10"/>
  <c r="G21"/>
  <c r="F33" i="104"/>
  <c r="F32"/>
  <c r="F31"/>
  <c r="F30"/>
  <c r="F29"/>
  <c r="F28"/>
  <c r="F27"/>
  <c r="F26"/>
  <c r="F25"/>
  <c r="F24"/>
  <c r="F23"/>
  <c r="F22"/>
  <c r="F21"/>
  <c r="F20"/>
  <c r="F19"/>
  <c r="F18"/>
  <c r="F17"/>
  <c r="F16"/>
  <c r="F15"/>
  <c r="F14"/>
  <c r="F13"/>
  <c r="F12"/>
  <c r="F11"/>
  <c r="F10"/>
  <c r="F9"/>
  <c r="F8"/>
  <c r="F33" i="83"/>
  <c r="F32"/>
  <c r="F31"/>
  <c r="F30"/>
  <c r="F29"/>
  <c r="F28"/>
  <c r="F27"/>
  <c r="F26"/>
  <c r="F25"/>
  <c r="F24"/>
  <c r="F23"/>
  <c r="F22"/>
  <c r="F21"/>
  <c r="F20"/>
  <c r="F19"/>
  <c r="F18"/>
  <c r="F17"/>
  <c r="F16"/>
  <c r="F15"/>
  <c r="F14"/>
  <c r="F13"/>
  <c r="F12"/>
  <c r="F11"/>
  <c r="F10"/>
  <c r="F9"/>
  <c r="F8"/>
  <c r="D10" i="76"/>
  <c r="E10"/>
  <c r="G10"/>
  <c r="V45" i="18"/>
  <c r="P45"/>
  <c r="I45"/>
  <c r="K45"/>
  <c r="B43"/>
  <c r="L34"/>
  <c r="K44"/>
  <c r="K43"/>
  <c r="K41"/>
  <c r="J13" i="76"/>
  <c r="D45" i="18"/>
  <c r="D44"/>
  <c r="D43"/>
  <c r="D41"/>
  <c r="D40"/>
  <c r="D39"/>
  <c r="D37"/>
  <c r="D36"/>
  <c r="D35"/>
  <c r="D33"/>
  <c r="D32"/>
  <c r="D31"/>
  <c r="Q37"/>
  <c r="Q36"/>
  <c r="Q35"/>
  <c r="Q33"/>
  <c r="Q32"/>
  <c r="Q31"/>
  <c r="J36"/>
  <c r="J35"/>
  <c r="J33"/>
  <c r="J32"/>
  <c r="J31"/>
  <c r="C10" i="116"/>
  <c r="F20" i="36"/>
  <c r="H174" i="5"/>
  <c r="F19" i="36"/>
  <c r="F11"/>
  <c r="F9"/>
  <c r="S41" i="71"/>
  <c r="R130"/>
  <c r="H73" i="5"/>
  <c r="D19" i="115"/>
  <c r="D16"/>
  <c r="D15"/>
  <c r="D14"/>
  <c r="D13"/>
  <c r="D12"/>
  <c r="D11"/>
  <c r="D10"/>
  <c r="D9"/>
  <c r="D20"/>
  <c r="A8"/>
  <c r="A9"/>
  <c r="A10"/>
  <c r="A11"/>
  <c r="A12"/>
  <c r="A13"/>
  <c r="A14"/>
  <c r="A15"/>
  <c r="A16"/>
  <c r="A17"/>
  <c r="A18"/>
  <c r="A19"/>
  <c r="H9" i="5"/>
  <c r="J166"/>
  <c r="J156"/>
  <c r="J152"/>
  <c r="I166"/>
  <c r="I156"/>
  <c r="I152"/>
  <c r="J158"/>
  <c r="I158"/>
  <c r="H158"/>
  <c r="H172"/>
  <c r="H166"/>
  <c r="H156"/>
  <c r="D16" i="67"/>
  <c r="A14"/>
  <c r="A15"/>
  <c r="F10" i="36"/>
  <c r="H127" i="5"/>
  <c r="A13" i="114"/>
  <c r="A14"/>
  <c r="H152" i="5"/>
  <c r="D15" i="114"/>
  <c r="I22" i="39"/>
  <c r="H17"/>
  <c r="G20"/>
  <c r="I20"/>
  <c r="A20"/>
  <c r="G18"/>
  <c r="G19"/>
  <c r="G17"/>
  <c r="I19"/>
  <c r="A19"/>
  <c r="A18"/>
  <c r="I15"/>
  <c r="I18"/>
  <c r="I17"/>
  <c r="I21"/>
  <c r="D22" i="70"/>
  <c r="I23" i="88"/>
  <c r="K23"/>
  <c r="G30" i="87"/>
  <c r="G12" i="6"/>
  <c r="C13" i="75"/>
  <c r="S91" i="71"/>
  <c r="G9" i="84"/>
  <c r="H9"/>
  <c r="G10"/>
  <c r="G11"/>
  <c r="H11"/>
  <c r="G12"/>
  <c r="G13"/>
  <c r="H13"/>
  <c r="G14"/>
  <c r="G15"/>
  <c r="H15"/>
  <c r="G16"/>
  <c r="G17"/>
  <c r="I17"/>
  <c r="G18"/>
  <c r="G19"/>
  <c r="G20"/>
  <c r="G21"/>
  <c r="G22"/>
  <c r="I22"/>
  <c r="G23"/>
  <c r="H23"/>
  <c r="G24"/>
  <c r="G25"/>
  <c r="I25"/>
  <c r="G26"/>
  <c r="G27"/>
  <c r="G28"/>
  <c r="G29"/>
  <c r="G30"/>
  <c r="I30"/>
  <c r="G31"/>
  <c r="I31"/>
  <c r="G32"/>
  <c r="G33"/>
  <c r="G34"/>
  <c r="G35"/>
  <c r="I35"/>
  <c r="G36"/>
  <c r="I36"/>
  <c r="G37"/>
  <c r="G38"/>
  <c r="G39"/>
  <c r="G40"/>
  <c r="I40"/>
  <c r="G41"/>
  <c r="H41"/>
  <c r="G42"/>
  <c r="G43"/>
  <c r="H43"/>
  <c r="G44"/>
  <c r="G45"/>
  <c r="H45"/>
  <c r="G46"/>
  <c r="G47"/>
  <c r="H47"/>
  <c r="G48"/>
  <c r="I48"/>
  <c r="G49"/>
  <c r="G50"/>
  <c r="I50"/>
  <c r="G51"/>
  <c r="I51"/>
  <c r="G52"/>
  <c r="I52"/>
  <c r="G53"/>
  <c r="I53"/>
  <c r="G8"/>
  <c r="H8"/>
  <c r="G24" i="29"/>
  <c r="G25"/>
  <c r="G26"/>
  <c r="G27"/>
  <c r="G28"/>
  <c r="G29"/>
  <c r="G30"/>
  <c r="G31"/>
  <c r="G32"/>
  <c r="G33"/>
  <c r="G34"/>
  <c r="G35"/>
  <c r="G36"/>
  <c r="G37"/>
  <c r="G38"/>
  <c r="G39"/>
  <c r="G40"/>
  <c r="G41"/>
  <c r="G42"/>
  <c r="G43"/>
  <c r="G44"/>
  <c r="G45"/>
  <c r="G46"/>
  <c r="G47"/>
  <c r="G48"/>
  <c r="G49"/>
  <c r="G50"/>
  <c r="G51"/>
  <c r="G52"/>
  <c r="G53"/>
  <c r="G23"/>
  <c r="F9" i="109"/>
  <c r="J106" i="5"/>
  <c r="I106"/>
  <c r="F7" i="108"/>
  <c r="F15"/>
  <c r="D18" i="106"/>
  <c r="D17"/>
  <c r="D16"/>
  <c r="D15"/>
  <c r="D13"/>
  <c r="D12"/>
  <c r="D24"/>
  <c r="J72" i="5"/>
  <c r="A11" i="106"/>
  <c r="A12"/>
  <c r="A13"/>
  <c r="A14"/>
  <c r="A15"/>
  <c r="A16"/>
  <c r="A17"/>
  <c r="A18"/>
  <c r="A19"/>
  <c r="A20"/>
  <c r="A21"/>
  <c r="A22"/>
  <c r="A23"/>
  <c r="D15" i="105"/>
  <c r="E17"/>
  <c r="D16"/>
  <c r="D14"/>
  <c r="D13"/>
  <c r="D12"/>
  <c r="D11"/>
  <c r="A8"/>
  <c r="A9"/>
  <c r="A10"/>
  <c r="A11"/>
  <c r="A12"/>
  <c r="A13"/>
  <c r="A14"/>
  <c r="A15"/>
  <c r="A16"/>
  <c r="G62" i="88"/>
  <c r="I62"/>
  <c r="K62"/>
  <c r="G61"/>
  <c r="I61"/>
  <c r="K61"/>
  <c r="G60"/>
  <c r="I60"/>
  <c r="K60"/>
  <c r="G59"/>
  <c r="I59"/>
  <c r="K59"/>
  <c r="G58"/>
  <c r="I58"/>
  <c r="K58"/>
  <c r="G57"/>
  <c r="I57"/>
  <c r="K57"/>
  <c r="G56"/>
  <c r="I56"/>
  <c r="K56"/>
  <c r="G55"/>
  <c r="I55"/>
  <c r="K55"/>
  <c r="G54"/>
  <c r="I54"/>
  <c r="K54"/>
  <c r="G53"/>
  <c r="I53"/>
  <c r="K53"/>
  <c r="G52"/>
  <c r="I52"/>
  <c r="K52"/>
  <c r="G51"/>
  <c r="I51"/>
  <c r="K51"/>
  <c r="G50"/>
  <c r="I50"/>
  <c r="K50"/>
  <c r="G49"/>
  <c r="I49"/>
  <c r="K49"/>
  <c r="A49"/>
  <c r="A50"/>
  <c r="A51"/>
  <c r="A52"/>
  <c r="A53"/>
  <c r="A54"/>
  <c r="A55"/>
  <c r="A56"/>
  <c r="A57"/>
  <c r="A58"/>
  <c r="A59"/>
  <c r="A60"/>
  <c r="A61"/>
  <c r="A62"/>
  <c r="G48"/>
  <c r="I48"/>
  <c r="K48"/>
  <c r="I30" i="87"/>
  <c r="K30"/>
  <c r="I48"/>
  <c r="K48"/>
  <c r="I49"/>
  <c r="K49"/>
  <c r="I50"/>
  <c r="K50"/>
  <c r="I51"/>
  <c r="K51"/>
  <c r="I52"/>
  <c r="K52"/>
  <c r="G62"/>
  <c r="I62"/>
  <c r="K62"/>
  <c r="G61"/>
  <c r="I61"/>
  <c r="K61"/>
  <c r="G60"/>
  <c r="I60"/>
  <c r="K60"/>
  <c r="G59"/>
  <c r="I59"/>
  <c r="K59"/>
  <c r="G58"/>
  <c r="I58"/>
  <c r="K58"/>
  <c r="G57"/>
  <c r="I57"/>
  <c r="K57"/>
  <c r="G56"/>
  <c r="I56"/>
  <c r="K56"/>
  <c r="G55"/>
  <c r="I55"/>
  <c r="K55"/>
  <c r="G54"/>
  <c r="I54"/>
  <c r="K54"/>
  <c r="G53"/>
  <c r="I53"/>
  <c r="K53"/>
  <c r="A49"/>
  <c r="A50"/>
  <c r="A51"/>
  <c r="A52"/>
  <c r="A53"/>
  <c r="A54"/>
  <c r="A55"/>
  <c r="A56"/>
  <c r="A57"/>
  <c r="A58"/>
  <c r="A59"/>
  <c r="A60"/>
  <c r="A61"/>
  <c r="A62"/>
  <c r="F167" i="104"/>
  <c r="F168"/>
  <c r="F261"/>
  <c r="F260"/>
  <c r="F259"/>
  <c r="F258"/>
  <c r="F257"/>
  <c r="F256"/>
  <c r="A256"/>
  <c r="A257"/>
  <c r="A258"/>
  <c r="A259"/>
  <c r="A260"/>
  <c r="A261"/>
  <c r="F255"/>
  <c r="F254"/>
  <c r="F253"/>
  <c r="F252"/>
  <c r="F251"/>
  <c r="F250"/>
  <c r="F249"/>
  <c r="F248"/>
  <c r="F247"/>
  <c r="F246"/>
  <c r="F245"/>
  <c r="F244"/>
  <c r="F243"/>
  <c r="F242"/>
  <c r="F241"/>
  <c r="F240"/>
  <c r="F239"/>
  <c r="F238"/>
  <c r="A238"/>
  <c r="A239"/>
  <c r="A240"/>
  <c r="A241"/>
  <c r="A242"/>
  <c r="A243"/>
  <c r="A244"/>
  <c r="A245"/>
  <c r="A246"/>
  <c r="A247"/>
  <c r="A248"/>
  <c r="A249"/>
  <c r="A250"/>
  <c r="A251"/>
  <c r="A252"/>
  <c r="A253"/>
  <c r="F237"/>
  <c r="F236"/>
  <c r="F235"/>
  <c r="F234"/>
  <c r="F233"/>
  <c r="F232"/>
  <c r="F231"/>
  <c r="F230"/>
  <c r="F229"/>
  <c r="A230"/>
  <c r="A231"/>
  <c r="A232"/>
  <c r="A233"/>
  <c r="A234"/>
  <c r="A235"/>
  <c r="F228"/>
  <c r="F227"/>
  <c r="F226"/>
  <c r="F225"/>
  <c r="F224"/>
  <c r="A224"/>
  <c r="A225"/>
  <c r="A226"/>
  <c r="A227"/>
  <c r="A228"/>
  <c r="F223"/>
  <c r="F222"/>
  <c r="F221"/>
  <c r="A221"/>
  <c r="F220"/>
  <c r="F219"/>
  <c r="F218"/>
  <c r="F217"/>
  <c r="F216"/>
  <c r="A216"/>
  <c r="A217"/>
  <c r="A218"/>
  <c r="F215"/>
  <c r="F214"/>
  <c r="F213"/>
  <c r="F212"/>
  <c r="F211"/>
  <c r="F210"/>
  <c r="F209"/>
  <c r="F208"/>
  <c r="F207"/>
  <c r="F206"/>
  <c r="F205"/>
  <c r="F204"/>
  <c r="F203"/>
  <c r="F202"/>
  <c r="F201"/>
  <c r="F200"/>
  <c r="F199"/>
  <c r="F198"/>
  <c r="F197"/>
  <c r="A198"/>
  <c r="A199"/>
  <c r="A200"/>
  <c r="A201"/>
  <c r="A202"/>
  <c r="A203"/>
  <c r="A204"/>
  <c r="A205"/>
  <c r="A206"/>
  <c r="A207"/>
  <c r="A208"/>
  <c r="A209"/>
  <c r="A210"/>
  <c r="A211"/>
  <c r="A212"/>
  <c r="A213"/>
  <c r="F196"/>
  <c r="F195"/>
  <c r="F194"/>
  <c r="F193"/>
  <c r="F192"/>
  <c r="F191"/>
  <c r="F190"/>
  <c r="F189"/>
  <c r="F188"/>
  <c r="F187"/>
  <c r="F186"/>
  <c r="F185"/>
  <c r="F184"/>
  <c r="A184"/>
  <c r="A185"/>
  <c r="A186"/>
  <c r="A187"/>
  <c r="A188"/>
  <c r="A189"/>
  <c r="A190"/>
  <c r="A191"/>
  <c r="A192"/>
  <c r="A193"/>
  <c r="A194"/>
  <c r="A195"/>
  <c r="A196"/>
  <c r="F183"/>
  <c r="F182"/>
  <c r="F181"/>
  <c r="F180"/>
  <c r="F179"/>
  <c r="F178"/>
  <c r="F177"/>
  <c r="F176"/>
  <c r="F175"/>
  <c r="F174"/>
  <c r="F173"/>
  <c r="F172"/>
  <c r="F171"/>
  <c r="F170"/>
  <c r="F169"/>
  <c r="F166"/>
  <c r="F165"/>
  <c r="F164"/>
  <c r="F163"/>
  <c r="F162"/>
  <c r="F161"/>
  <c r="F160"/>
  <c r="F159"/>
  <c r="F158"/>
  <c r="A159"/>
  <c r="A160"/>
  <c r="A161"/>
  <c r="A162"/>
  <c r="A163"/>
  <c r="A164"/>
  <c r="A165"/>
  <c r="A166"/>
  <c r="A167"/>
  <c r="A168"/>
  <c r="A169"/>
  <c r="A170"/>
  <c r="A171"/>
  <c r="A172"/>
  <c r="A173"/>
  <c r="A174"/>
  <c r="A175"/>
  <c r="A176"/>
  <c r="A177"/>
  <c r="A178"/>
  <c r="A179"/>
  <c r="A180"/>
  <c r="A181"/>
  <c r="A182"/>
  <c r="F157"/>
  <c r="F156"/>
  <c r="F155"/>
  <c r="F154"/>
  <c r="F153"/>
  <c r="F152"/>
  <c r="F151"/>
  <c r="F150"/>
  <c r="F149"/>
  <c r="F148"/>
  <c r="F147"/>
  <c r="F146"/>
  <c r="F145"/>
  <c r="F144"/>
  <c r="F143"/>
  <c r="F142"/>
  <c r="F141"/>
  <c r="F140"/>
  <c r="F139"/>
  <c r="F138"/>
  <c r="F137"/>
  <c r="F136"/>
  <c r="F135"/>
  <c r="F134"/>
  <c r="F133"/>
  <c r="F132"/>
  <c r="F131"/>
  <c r="F130"/>
  <c r="F129"/>
  <c r="F128"/>
  <c r="F127"/>
  <c r="F126"/>
  <c r="F125"/>
  <c r="F124"/>
  <c r="F123"/>
  <c r="F122"/>
  <c r="F121"/>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F120"/>
  <c r="F119"/>
  <c r="F118"/>
  <c r="F117"/>
  <c r="F116"/>
  <c r="F115"/>
  <c r="F114"/>
  <c r="F113"/>
  <c r="F112"/>
  <c r="F111"/>
  <c r="F110"/>
  <c r="F109"/>
  <c r="F108"/>
  <c r="F107"/>
  <c r="F106"/>
  <c r="F105"/>
  <c r="F104"/>
  <c r="F103"/>
  <c r="F102"/>
  <c r="F101"/>
  <c r="F100"/>
  <c r="F99"/>
  <c r="F98"/>
  <c r="F97"/>
  <c r="F96"/>
  <c r="F95"/>
  <c r="F94"/>
  <c r="F93"/>
  <c r="F92"/>
  <c r="F91"/>
  <c r="A91"/>
  <c r="A92"/>
  <c r="A93"/>
  <c r="A94"/>
  <c r="A95"/>
  <c r="A96"/>
  <c r="A97"/>
  <c r="A98"/>
  <c r="A99"/>
  <c r="A100"/>
  <c r="A101"/>
  <c r="A102"/>
  <c r="A103"/>
  <c r="A104"/>
  <c r="A105"/>
  <c r="A106"/>
  <c r="A107"/>
  <c r="A108"/>
  <c r="A109"/>
  <c r="A110"/>
  <c r="A111"/>
  <c r="A112"/>
  <c r="A113"/>
  <c r="A114"/>
  <c r="A115"/>
  <c r="A116"/>
  <c r="A117"/>
  <c r="A118"/>
  <c r="A119"/>
  <c r="F90"/>
  <c r="F89"/>
  <c r="F88"/>
  <c r="F87"/>
  <c r="F86"/>
  <c r="F85"/>
  <c r="F84"/>
  <c r="F83"/>
  <c r="F82"/>
  <c r="F81"/>
  <c r="F80"/>
  <c r="F79"/>
  <c r="F78"/>
  <c r="F77"/>
  <c r="F76"/>
  <c r="F75"/>
  <c r="F74"/>
  <c r="F73"/>
  <c r="F72"/>
  <c r="F71"/>
  <c r="F70"/>
  <c r="F69"/>
  <c r="F68"/>
  <c r="F67"/>
  <c r="F66"/>
  <c r="F65"/>
  <c r="F64"/>
  <c r="F63"/>
  <c r="F62"/>
  <c r="F61"/>
  <c r="F60"/>
  <c r="F59"/>
  <c r="F58"/>
  <c r="F57"/>
  <c r="F56"/>
  <c r="F55"/>
  <c r="F54"/>
  <c r="A54"/>
  <c r="A55"/>
  <c r="A56"/>
  <c r="A57"/>
  <c r="A58"/>
  <c r="A59"/>
  <c r="A60"/>
  <c r="A61"/>
  <c r="A62"/>
  <c r="A63"/>
  <c r="A64"/>
  <c r="A65"/>
  <c r="A66"/>
  <c r="A67"/>
  <c r="A68"/>
  <c r="A69"/>
  <c r="A70"/>
  <c r="A71"/>
  <c r="A72"/>
  <c r="A73"/>
  <c r="A74"/>
  <c r="A75"/>
  <c r="A76"/>
  <c r="A77"/>
  <c r="A78"/>
  <c r="A79"/>
  <c r="A80"/>
  <c r="A81"/>
  <c r="A82"/>
  <c r="A83"/>
  <c r="A84"/>
  <c r="A85"/>
  <c r="A86"/>
  <c r="A87"/>
  <c r="A88"/>
  <c r="F53"/>
  <c r="F52"/>
  <c r="F51"/>
  <c r="F50"/>
  <c r="F49"/>
  <c r="F48"/>
  <c r="F47"/>
  <c r="F46"/>
  <c r="F45"/>
  <c r="F44"/>
  <c r="F43"/>
  <c r="F42"/>
  <c r="F41"/>
  <c r="F40"/>
  <c r="F39"/>
  <c r="F38"/>
  <c r="F37"/>
  <c r="F36"/>
  <c r="A36"/>
  <c r="A37"/>
  <c r="A38"/>
  <c r="A39"/>
  <c r="A40"/>
  <c r="A41"/>
  <c r="A42"/>
  <c r="A43"/>
  <c r="A44"/>
  <c r="A45"/>
  <c r="A46"/>
  <c r="A47"/>
  <c r="A48"/>
  <c r="A49"/>
  <c r="A50"/>
  <c r="A51"/>
  <c r="A52"/>
  <c r="F35"/>
  <c r="F34"/>
  <c r="A9"/>
  <c r="A10"/>
  <c r="A11"/>
  <c r="A12"/>
  <c r="A13"/>
  <c r="A14"/>
  <c r="A15"/>
  <c r="A16"/>
  <c r="A17"/>
  <c r="A18"/>
  <c r="A19"/>
  <c r="A20"/>
  <c r="A21"/>
  <c r="A22"/>
  <c r="A23"/>
  <c r="A24"/>
  <c r="A25"/>
  <c r="A26"/>
  <c r="A27"/>
  <c r="A28"/>
  <c r="A29"/>
  <c r="A30"/>
  <c r="A31"/>
  <c r="A32"/>
  <c r="A33"/>
  <c r="F7"/>
  <c r="F268"/>
  <c r="C9" i="103"/>
  <c r="F175" i="83"/>
  <c r="E27" i="103"/>
  <c r="A16"/>
  <c r="A17"/>
  <c r="A18"/>
  <c r="A19"/>
  <c r="A20"/>
  <c r="A21"/>
  <c r="A22"/>
  <c r="A23"/>
  <c r="A24"/>
  <c r="A25"/>
  <c r="A26"/>
  <c r="F15"/>
  <c r="C14"/>
  <c r="A13"/>
  <c r="A14"/>
  <c r="C11"/>
  <c r="A11"/>
  <c r="D9"/>
  <c r="A8"/>
  <c r="E27" i="101"/>
  <c r="A16"/>
  <c r="A17"/>
  <c r="A18"/>
  <c r="A19"/>
  <c r="A20"/>
  <c r="A21"/>
  <c r="A22"/>
  <c r="A23"/>
  <c r="A24"/>
  <c r="A25"/>
  <c r="A26"/>
  <c r="F15"/>
  <c r="C14"/>
  <c r="A13"/>
  <c r="A14"/>
  <c r="C11"/>
  <c r="A11"/>
  <c r="D9"/>
  <c r="D27"/>
  <c r="A8"/>
  <c r="F258" i="25"/>
  <c r="F259"/>
  <c r="F260"/>
  <c r="F261"/>
  <c r="F262"/>
  <c r="F263"/>
  <c r="F240"/>
  <c r="F241"/>
  <c r="F242"/>
  <c r="F243"/>
  <c r="F244"/>
  <c r="F245"/>
  <c r="F246"/>
  <c r="F247"/>
  <c r="F248"/>
  <c r="F249"/>
  <c r="F250"/>
  <c r="F251"/>
  <c r="F252"/>
  <c r="F253"/>
  <c r="F254"/>
  <c r="F255"/>
  <c r="F225"/>
  <c r="F226"/>
  <c r="F227"/>
  <c r="F228"/>
  <c r="F229"/>
  <c r="F215"/>
  <c r="F187"/>
  <c r="F188"/>
  <c r="F189"/>
  <c r="F190"/>
  <c r="F191"/>
  <c r="F192"/>
  <c r="F193"/>
  <c r="F194"/>
  <c r="F195"/>
  <c r="F196"/>
  <c r="F197"/>
  <c r="F198"/>
  <c r="F162"/>
  <c r="F163"/>
  <c r="F164"/>
  <c r="F165"/>
  <c r="F166"/>
  <c r="F167"/>
  <c r="F168"/>
  <c r="F169"/>
  <c r="F170"/>
  <c r="F171"/>
  <c r="F172"/>
  <c r="F173"/>
  <c r="F174"/>
  <c r="F175"/>
  <c r="F176"/>
  <c r="F177"/>
  <c r="F178"/>
  <c r="F179"/>
  <c r="F180"/>
  <c r="F181"/>
  <c r="F182"/>
  <c r="F183"/>
  <c r="F184"/>
  <c r="F124"/>
  <c r="F125"/>
  <c r="F126"/>
  <c r="F127"/>
  <c r="F128"/>
  <c r="F129"/>
  <c r="F130"/>
  <c r="F131"/>
  <c r="F132"/>
  <c r="F133"/>
  <c r="F134"/>
  <c r="F135"/>
  <c r="F136"/>
  <c r="F137"/>
  <c r="F138"/>
  <c r="F139"/>
  <c r="F140"/>
  <c r="F141"/>
  <c r="F142"/>
  <c r="F143"/>
  <c r="F144"/>
  <c r="F145"/>
  <c r="F146"/>
  <c r="F147"/>
  <c r="F148"/>
  <c r="F149"/>
  <c r="F150"/>
  <c r="F151"/>
  <c r="F152"/>
  <c r="F153"/>
  <c r="F154"/>
  <c r="F155"/>
  <c r="F156"/>
  <c r="F157"/>
  <c r="F158"/>
  <c r="F159"/>
  <c r="F120"/>
  <c r="F121"/>
  <c r="F57"/>
  <c r="F58"/>
  <c r="F59"/>
  <c r="F60"/>
  <c r="F61"/>
  <c r="F62"/>
  <c r="F63"/>
  <c r="F64"/>
  <c r="F65"/>
  <c r="F66"/>
  <c r="F67"/>
  <c r="F68"/>
  <c r="F69"/>
  <c r="F70"/>
  <c r="F71"/>
  <c r="F72"/>
  <c r="F73"/>
  <c r="F74"/>
  <c r="F75"/>
  <c r="F76"/>
  <c r="F77"/>
  <c r="F78"/>
  <c r="F79"/>
  <c r="F80"/>
  <c r="F81"/>
  <c r="F82"/>
  <c r="F83"/>
  <c r="F84"/>
  <c r="F85"/>
  <c r="F86"/>
  <c r="F87"/>
  <c r="F88"/>
  <c r="F89"/>
  <c r="F90"/>
  <c r="F38"/>
  <c r="F39"/>
  <c r="F40"/>
  <c r="F41"/>
  <c r="F42"/>
  <c r="F43"/>
  <c r="F44"/>
  <c r="F45"/>
  <c r="F46"/>
  <c r="F47"/>
  <c r="F48"/>
  <c r="F49"/>
  <c r="F50"/>
  <c r="F51"/>
  <c r="F52"/>
  <c r="F53"/>
  <c r="F54"/>
  <c r="F9"/>
  <c r="F10"/>
  <c r="F11"/>
  <c r="F12"/>
  <c r="F13"/>
  <c r="F14"/>
  <c r="F15"/>
  <c r="F16"/>
  <c r="F17"/>
  <c r="F18"/>
  <c r="F19"/>
  <c r="F20"/>
  <c r="F21"/>
  <c r="F22"/>
  <c r="F23"/>
  <c r="F24"/>
  <c r="F25"/>
  <c r="F26"/>
  <c r="F27"/>
  <c r="F28"/>
  <c r="F29"/>
  <c r="F30"/>
  <c r="F31"/>
  <c r="F32"/>
  <c r="F33"/>
  <c r="F34"/>
  <c r="F35"/>
  <c r="G62" i="28"/>
  <c r="I62"/>
  <c r="K62"/>
  <c r="G61"/>
  <c r="I61"/>
  <c r="K61"/>
  <c r="G60"/>
  <c r="I60"/>
  <c r="K60"/>
  <c r="G59"/>
  <c r="I59"/>
  <c r="K59"/>
  <c r="G58"/>
  <c r="I58"/>
  <c r="K58"/>
  <c r="G57"/>
  <c r="I57"/>
  <c r="K57"/>
  <c r="G56"/>
  <c r="I56"/>
  <c r="K56"/>
  <c r="G55"/>
  <c r="I55"/>
  <c r="K55"/>
  <c r="G54"/>
  <c r="I54"/>
  <c r="K54"/>
  <c r="G53"/>
  <c r="I53"/>
  <c r="K53"/>
  <c r="G52"/>
  <c r="I52"/>
  <c r="K52"/>
  <c r="G51"/>
  <c r="I51"/>
  <c r="K51"/>
  <c r="G50"/>
  <c r="I50"/>
  <c r="K50"/>
  <c r="G49"/>
  <c r="I49"/>
  <c r="K49"/>
  <c r="A49"/>
  <c r="A50"/>
  <c r="A51"/>
  <c r="A52"/>
  <c r="A53"/>
  <c r="A54"/>
  <c r="A55"/>
  <c r="A56"/>
  <c r="A57"/>
  <c r="A58"/>
  <c r="A59"/>
  <c r="A60"/>
  <c r="A61"/>
  <c r="A62"/>
  <c r="G48"/>
  <c r="I48"/>
  <c r="K48"/>
  <c r="I29" i="88"/>
  <c r="K29"/>
  <c r="I30"/>
  <c r="K30"/>
  <c r="I31"/>
  <c r="K31"/>
  <c r="I32"/>
  <c r="K32"/>
  <c r="I33"/>
  <c r="K33"/>
  <c r="I34"/>
  <c r="K34"/>
  <c r="I35"/>
  <c r="K35"/>
  <c r="I36"/>
  <c r="K36"/>
  <c r="I37"/>
  <c r="K37"/>
  <c r="I38"/>
  <c r="K38"/>
  <c r="I39"/>
  <c r="K39"/>
  <c r="I40"/>
  <c r="K40"/>
  <c r="I41"/>
  <c r="K41"/>
  <c r="I42"/>
  <c r="K42"/>
  <c r="I43"/>
  <c r="K43"/>
  <c r="I44"/>
  <c r="K44"/>
  <c r="I28"/>
  <c r="K28"/>
  <c r="I11"/>
  <c r="K11"/>
  <c r="I12"/>
  <c r="K12"/>
  <c r="I13"/>
  <c r="K13"/>
  <c r="I14"/>
  <c r="K14"/>
  <c r="I15"/>
  <c r="K15"/>
  <c r="I16"/>
  <c r="K16"/>
  <c r="I17"/>
  <c r="K17"/>
  <c r="I18"/>
  <c r="K18"/>
  <c r="I19"/>
  <c r="K19"/>
  <c r="I20"/>
  <c r="K20"/>
  <c r="I21"/>
  <c r="K21"/>
  <c r="I22"/>
  <c r="K22"/>
  <c r="I24"/>
  <c r="K24"/>
  <c r="I25"/>
  <c r="K25"/>
  <c r="I10"/>
  <c r="K10"/>
  <c r="K26"/>
  <c r="G29" i="87"/>
  <c r="I29"/>
  <c r="K29"/>
  <c r="G31"/>
  <c r="I31"/>
  <c r="K31"/>
  <c r="G32"/>
  <c r="I32"/>
  <c r="K32"/>
  <c r="G33"/>
  <c r="I33"/>
  <c r="K33"/>
  <c r="G34"/>
  <c r="I34"/>
  <c r="K34"/>
  <c r="G35"/>
  <c r="I35"/>
  <c r="K35"/>
  <c r="G36"/>
  <c r="I36"/>
  <c r="K36"/>
  <c r="G37"/>
  <c r="I37"/>
  <c r="K37"/>
  <c r="G38"/>
  <c r="I38"/>
  <c r="K38"/>
  <c r="G39"/>
  <c r="I39"/>
  <c r="K39"/>
  <c r="G40"/>
  <c r="I40"/>
  <c r="K40"/>
  <c r="G41"/>
  <c r="I41"/>
  <c r="K41"/>
  <c r="G42"/>
  <c r="I42"/>
  <c r="K42"/>
  <c r="G43"/>
  <c r="I43"/>
  <c r="K43"/>
  <c r="G44"/>
  <c r="I44"/>
  <c r="K44"/>
  <c r="G28"/>
  <c r="I28"/>
  <c r="K28"/>
  <c r="G11"/>
  <c r="I11"/>
  <c r="K11"/>
  <c r="G12"/>
  <c r="I12"/>
  <c r="K12"/>
  <c r="G13"/>
  <c r="I13"/>
  <c r="K13"/>
  <c r="G14"/>
  <c r="I14"/>
  <c r="K14"/>
  <c r="G15"/>
  <c r="I15"/>
  <c r="K15"/>
  <c r="G16"/>
  <c r="I16"/>
  <c r="K16"/>
  <c r="G17"/>
  <c r="I17"/>
  <c r="K17"/>
  <c r="G18"/>
  <c r="I18"/>
  <c r="K18"/>
  <c r="G19"/>
  <c r="I19"/>
  <c r="K19"/>
  <c r="G20"/>
  <c r="I20"/>
  <c r="K20"/>
  <c r="G21"/>
  <c r="I21"/>
  <c r="K21"/>
  <c r="G22"/>
  <c r="I22"/>
  <c r="K22"/>
  <c r="G23"/>
  <c r="I23"/>
  <c r="K23"/>
  <c r="G24"/>
  <c r="I24"/>
  <c r="K24"/>
  <c r="G25"/>
  <c r="I25"/>
  <c r="K25"/>
  <c r="G10"/>
  <c r="I10"/>
  <c r="K10"/>
  <c r="G29" i="28"/>
  <c r="I29"/>
  <c r="K29"/>
  <c r="G30"/>
  <c r="I30"/>
  <c r="K30"/>
  <c r="G31"/>
  <c r="I31"/>
  <c r="K31"/>
  <c r="G32"/>
  <c r="I32"/>
  <c r="K32"/>
  <c r="G33"/>
  <c r="I33"/>
  <c r="K33"/>
  <c r="G34"/>
  <c r="I34"/>
  <c r="K34"/>
  <c r="G35"/>
  <c r="I35"/>
  <c r="K35"/>
  <c r="G36"/>
  <c r="I36"/>
  <c r="K36"/>
  <c r="G37"/>
  <c r="I37"/>
  <c r="K37"/>
  <c r="G38"/>
  <c r="I38"/>
  <c r="K38"/>
  <c r="G39"/>
  <c r="I39"/>
  <c r="K39"/>
  <c r="G40"/>
  <c r="I40"/>
  <c r="K40"/>
  <c r="G41"/>
  <c r="I41"/>
  <c r="K41"/>
  <c r="G42"/>
  <c r="I42"/>
  <c r="K42"/>
  <c r="G43"/>
  <c r="I43"/>
  <c r="K43"/>
  <c r="G44"/>
  <c r="I44"/>
  <c r="K44"/>
  <c r="G11"/>
  <c r="I11"/>
  <c r="K11"/>
  <c r="G12"/>
  <c r="I12"/>
  <c r="K12"/>
  <c r="G13"/>
  <c r="I13"/>
  <c r="K13"/>
  <c r="G14"/>
  <c r="I14"/>
  <c r="K14"/>
  <c r="G15"/>
  <c r="I15"/>
  <c r="K15"/>
  <c r="G16"/>
  <c r="I16"/>
  <c r="K16"/>
  <c r="G17"/>
  <c r="I17"/>
  <c r="K17"/>
  <c r="G18"/>
  <c r="I18"/>
  <c r="K18"/>
  <c r="G19"/>
  <c r="I19"/>
  <c r="K19"/>
  <c r="G20"/>
  <c r="I20"/>
  <c r="K20"/>
  <c r="G21"/>
  <c r="I21"/>
  <c r="K21"/>
  <c r="G22"/>
  <c r="I22"/>
  <c r="K22"/>
  <c r="G23"/>
  <c r="I23"/>
  <c r="K23"/>
  <c r="G24"/>
  <c r="I24"/>
  <c r="K24"/>
  <c r="G25"/>
  <c r="I25"/>
  <c r="K25"/>
  <c r="G10"/>
  <c r="B28" i="100"/>
  <c r="F15"/>
  <c r="B28" i="99"/>
  <c r="A28"/>
  <c r="E35"/>
  <c r="B28" i="98"/>
  <c r="A28"/>
  <c r="E35"/>
  <c r="E16"/>
  <c r="B35"/>
  <c r="F15"/>
  <c r="B28" i="97"/>
  <c r="A28"/>
  <c r="E35"/>
  <c r="E16"/>
  <c r="C33" i="86"/>
  <c r="B33"/>
  <c r="D36" i="100"/>
  <c r="A32"/>
  <c r="E36"/>
  <c r="C36"/>
  <c r="A28"/>
  <c r="E35"/>
  <c r="E16"/>
  <c r="B35"/>
  <c r="D36" i="99"/>
  <c r="A32"/>
  <c r="E36"/>
  <c r="E16"/>
  <c r="B35"/>
  <c r="F15"/>
  <c r="D36" i="98"/>
  <c r="F36"/>
  <c r="A32"/>
  <c r="E36"/>
  <c r="C36"/>
  <c r="D36" i="97"/>
  <c r="F36"/>
  <c r="A32"/>
  <c r="E36"/>
  <c r="C36"/>
  <c r="B35"/>
  <c r="F15"/>
  <c r="B28" i="96"/>
  <c r="A28"/>
  <c r="E35"/>
  <c r="E16"/>
  <c r="F15"/>
  <c r="B28" i="95"/>
  <c r="E16"/>
  <c r="B35"/>
  <c r="C35"/>
  <c r="B28" i="94"/>
  <c r="A28"/>
  <c r="E35"/>
  <c r="E16"/>
  <c r="B28" i="93"/>
  <c r="A28"/>
  <c r="E35"/>
  <c r="E16"/>
  <c r="D36" i="96"/>
  <c r="A32"/>
  <c r="E36"/>
  <c r="C36"/>
  <c r="B35"/>
  <c r="D36" i="95"/>
  <c r="A32"/>
  <c r="E36"/>
  <c r="A28"/>
  <c r="E35"/>
  <c r="F15"/>
  <c r="D36" i="94"/>
  <c r="F36"/>
  <c r="A32"/>
  <c r="E36"/>
  <c r="C36"/>
  <c r="B35"/>
  <c r="F15"/>
  <c r="D36" i="93"/>
  <c r="A32"/>
  <c r="E36"/>
  <c r="F36"/>
  <c r="B35"/>
  <c r="F15"/>
  <c r="D18" i="61"/>
  <c r="D17"/>
  <c r="C6"/>
  <c r="B28" i="82"/>
  <c r="E16"/>
  <c r="B35"/>
  <c r="B35" i="81"/>
  <c r="E16"/>
  <c r="B35" i="80"/>
  <c r="E16"/>
  <c r="E16" i="79"/>
  <c r="B28" i="81"/>
  <c r="B28" i="80"/>
  <c r="B28" i="79"/>
  <c r="K63" i="88"/>
  <c r="D27" i="103"/>
  <c r="F27" i="101"/>
  <c r="K63" i="28"/>
  <c r="F36" i="96"/>
  <c r="F35" i="95"/>
  <c r="G9" i="103"/>
  <c r="F27"/>
  <c r="Q8" i="40"/>
  <c r="Q9"/>
  <c r="Q10"/>
  <c r="Q11"/>
  <c r="Q12"/>
  <c r="Q13"/>
  <c r="Q14"/>
  <c r="Q15"/>
  <c r="Q16"/>
  <c r="Q17"/>
  <c r="Q18"/>
  <c r="Q7"/>
  <c r="C8" i="92"/>
  <c r="E8"/>
  <c r="E9"/>
  <c r="C39" i="91"/>
  <c r="E7" i="92"/>
  <c r="C30" i="91"/>
  <c r="C26"/>
  <c r="C21"/>
  <c r="C16"/>
  <c r="C12"/>
  <c r="C8"/>
  <c r="C30" i="90"/>
  <c r="C26"/>
  <c r="C21"/>
  <c r="C16"/>
  <c r="C12"/>
  <c r="C8"/>
  <c r="C8" i="89"/>
  <c r="E8"/>
  <c r="E7"/>
  <c r="C8" i="56"/>
  <c r="C6" i="86"/>
  <c r="B6"/>
  <c r="C5"/>
  <c r="B5"/>
  <c r="D35"/>
  <c r="D34"/>
  <c r="D33"/>
  <c r="D32"/>
  <c r="D31"/>
  <c r="D30"/>
  <c r="D29"/>
  <c r="D28"/>
  <c r="D27"/>
  <c r="D26"/>
  <c r="D25"/>
  <c r="D24"/>
  <c r="D23"/>
  <c r="D22"/>
  <c r="D21"/>
  <c r="D20"/>
  <c r="D19"/>
  <c r="D18"/>
  <c r="D17"/>
  <c r="D16"/>
  <c r="D15"/>
  <c r="D14"/>
  <c r="D13"/>
  <c r="D12"/>
  <c r="D11"/>
  <c r="D9"/>
  <c r="D8"/>
  <c r="D7"/>
  <c r="D6"/>
  <c r="C34" i="85"/>
  <c r="B34"/>
  <c r="D36"/>
  <c r="D35"/>
  <c r="D34"/>
  <c r="D33"/>
  <c r="D32"/>
  <c r="D31"/>
  <c r="D30"/>
  <c r="D29"/>
  <c r="D28"/>
  <c r="D27"/>
  <c r="D26"/>
  <c r="D25"/>
  <c r="D24"/>
  <c r="D23"/>
  <c r="D22"/>
  <c r="D20"/>
  <c r="D19"/>
  <c r="D17"/>
  <c r="D16"/>
  <c r="D15"/>
  <c r="D14"/>
  <c r="D13"/>
  <c r="D12"/>
  <c r="D10"/>
  <c r="D9"/>
  <c r="D8"/>
  <c r="D7"/>
  <c r="C11"/>
  <c r="B11"/>
  <c r="C7"/>
  <c r="B7"/>
  <c r="C6"/>
  <c r="D19" i="61"/>
  <c r="K53" i="84"/>
  <c r="K52"/>
  <c r="K51"/>
  <c r="K50"/>
  <c r="K48"/>
  <c r="K40"/>
  <c r="K36"/>
  <c r="K35"/>
  <c r="K31"/>
  <c r="K30"/>
  <c r="K25"/>
  <c r="K22"/>
  <c r="K17"/>
  <c r="I8"/>
  <c r="K8"/>
  <c r="F92" i="25"/>
  <c r="A93"/>
  <c r="F93"/>
  <c r="A94"/>
  <c r="F94"/>
  <c r="A95"/>
  <c r="F95"/>
  <c r="A96"/>
  <c r="F96"/>
  <c r="A97"/>
  <c r="F97"/>
  <c r="A98"/>
  <c r="F98"/>
  <c r="A99"/>
  <c r="F99"/>
  <c r="A100"/>
  <c r="F100"/>
  <c r="A101"/>
  <c r="F101"/>
  <c r="A102"/>
  <c r="F102"/>
  <c r="A103"/>
  <c r="F103"/>
  <c r="A104"/>
  <c r="F104"/>
  <c r="A105"/>
  <c r="F105"/>
  <c r="A106"/>
  <c r="F106"/>
  <c r="A107"/>
  <c r="F107"/>
  <c r="A108"/>
  <c r="F108"/>
  <c r="A109"/>
  <c r="F109"/>
  <c r="A110"/>
  <c r="F110"/>
  <c r="A111"/>
  <c r="F111"/>
  <c r="A112"/>
  <c r="F112"/>
  <c r="A113"/>
  <c r="F113"/>
  <c r="A114"/>
  <c r="F114"/>
  <c r="A115"/>
  <c r="F115"/>
  <c r="A116"/>
  <c r="F116"/>
  <c r="A117"/>
  <c r="F117"/>
  <c r="A118"/>
  <c r="F118"/>
  <c r="F261" i="83"/>
  <c r="F260"/>
  <c r="F259"/>
  <c r="F258"/>
  <c r="F257"/>
  <c r="F256"/>
  <c r="A256"/>
  <c r="A257"/>
  <c r="A258"/>
  <c r="A259"/>
  <c r="A260"/>
  <c r="A261"/>
  <c r="F255"/>
  <c r="F253"/>
  <c r="F252"/>
  <c r="F251"/>
  <c r="F250"/>
  <c r="F249"/>
  <c r="F248"/>
  <c r="F247"/>
  <c r="F246"/>
  <c r="F245"/>
  <c r="F244"/>
  <c r="F243"/>
  <c r="F242"/>
  <c r="F241"/>
  <c r="F240"/>
  <c r="F239"/>
  <c r="F238"/>
  <c r="A238"/>
  <c r="A239"/>
  <c r="A240"/>
  <c r="A241"/>
  <c r="A242"/>
  <c r="A243"/>
  <c r="A244"/>
  <c r="A245"/>
  <c r="A246"/>
  <c r="A247"/>
  <c r="A248"/>
  <c r="A249"/>
  <c r="A250"/>
  <c r="A251"/>
  <c r="A252"/>
  <c r="A253"/>
  <c r="F237"/>
  <c r="F236"/>
  <c r="F213"/>
  <c r="F212"/>
  <c r="F211"/>
  <c r="F210"/>
  <c r="F209"/>
  <c r="F208"/>
  <c r="F207"/>
  <c r="F235"/>
  <c r="F234"/>
  <c r="F233"/>
  <c r="F232"/>
  <c r="F231"/>
  <c r="F230"/>
  <c r="A230"/>
  <c r="A231"/>
  <c r="A232"/>
  <c r="A233"/>
  <c r="A234"/>
  <c r="A235"/>
  <c r="F228"/>
  <c r="F227"/>
  <c r="F226"/>
  <c r="F225"/>
  <c r="F224"/>
  <c r="A224"/>
  <c r="A225"/>
  <c r="A226"/>
  <c r="A227"/>
  <c r="A228"/>
  <c r="F223"/>
  <c r="F221"/>
  <c r="A221"/>
  <c r="F220"/>
  <c r="F219"/>
  <c r="F206"/>
  <c r="F205"/>
  <c r="F204"/>
  <c r="F203"/>
  <c r="F202"/>
  <c r="F201"/>
  <c r="F218"/>
  <c r="F217"/>
  <c r="F216"/>
  <c r="F215"/>
  <c r="F200"/>
  <c r="F199"/>
  <c r="F198"/>
  <c r="A198"/>
  <c r="A199"/>
  <c r="F196"/>
  <c r="F195"/>
  <c r="F194"/>
  <c r="F193"/>
  <c r="F192"/>
  <c r="F191"/>
  <c r="F190"/>
  <c r="F189"/>
  <c r="F188"/>
  <c r="F187"/>
  <c r="F186"/>
  <c r="F185"/>
  <c r="F184"/>
  <c r="F183"/>
  <c r="A184"/>
  <c r="A185"/>
  <c r="A186"/>
  <c r="A187"/>
  <c r="A188"/>
  <c r="A189"/>
  <c r="A190"/>
  <c r="A191"/>
  <c r="A192"/>
  <c r="A193"/>
  <c r="A194"/>
  <c r="A195"/>
  <c r="A196"/>
  <c r="F182"/>
  <c r="F181"/>
  <c r="F180"/>
  <c r="F179"/>
  <c r="F178"/>
  <c r="F177"/>
  <c r="F176"/>
  <c r="F174"/>
  <c r="F173"/>
  <c r="F172"/>
  <c r="F171"/>
  <c r="F170"/>
  <c r="F169"/>
  <c r="F168"/>
  <c r="F167"/>
  <c r="F166"/>
  <c r="F165"/>
  <c r="F164"/>
  <c r="F163"/>
  <c r="F162"/>
  <c r="F161"/>
  <c r="F160"/>
  <c r="F159"/>
  <c r="F158"/>
  <c r="A159"/>
  <c r="A160"/>
  <c r="A161"/>
  <c r="A162"/>
  <c r="A163"/>
  <c r="A164"/>
  <c r="A165"/>
  <c r="A166"/>
  <c r="A167"/>
  <c r="A168"/>
  <c r="A169"/>
  <c r="A170"/>
  <c r="A171"/>
  <c r="A172"/>
  <c r="A173"/>
  <c r="A174"/>
  <c r="A175"/>
  <c r="A176"/>
  <c r="A177"/>
  <c r="A178"/>
  <c r="A179"/>
  <c r="A180"/>
  <c r="A181"/>
  <c r="A182"/>
  <c r="F157"/>
  <c r="F156"/>
  <c r="F155"/>
  <c r="F154"/>
  <c r="F153"/>
  <c r="F152"/>
  <c r="F151"/>
  <c r="F150"/>
  <c r="F149"/>
  <c r="F148"/>
  <c r="F147"/>
  <c r="F146"/>
  <c r="F145"/>
  <c r="F144"/>
  <c r="F143"/>
  <c r="F142"/>
  <c r="F141"/>
  <c r="F140"/>
  <c r="F139"/>
  <c r="F138"/>
  <c r="F137"/>
  <c r="F136"/>
  <c r="F135"/>
  <c r="F134"/>
  <c r="F133"/>
  <c r="F132"/>
  <c r="F131"/>
  <c r="F130"/>
  <c r="F129"/>
  <c r="F128"/>
  <c r="F127"/>
  <c r="F126"/>
  <c r="F125"/>
  <c r="F124"/>
  <c r="F123"/>
  <c r="F122"/>
  <c r="F121"/>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F119"/>
  <c r="F118"/>
  <c r="F117"/>
  <c r="F116"/>
  <c r="F115"/>
  <c r="F114"/>
  <c r="F113"/>
  <c r="F112"/>
  <c r="F111"/>
  <c r="F110"/>
  <c r="F109"/>
  <c r="F108"/>
  <c r="F107"/>
  <c r="F106"/>
  <c r="F105"/>
  <c r="F104"/>
  <c r="F103"/>
  <c r="F102"/>
  <c r="F101"/>
  <c r="F100"/>
  <c r="F99"/>
  <c r="F98"/>
  <c r="F97"/>
  <c r="F96"/>
  <c r="F95"/>
  <c r="F94"/>
  <c r="F93"/>
  <c r="F92"/>
  <c r="F91"/>
  <c r="A91"/>
  <c r="A92"/>
  <c r="A93"/>
  <c r="A94"/>
  <c r="A95"/>
  <c r="A96"/>
  <c r="A97"/>
  <c r="A98"/>
  <c r="A99"/>
  <c r="A100"/>
  <c r="A101"/>
  <c r="A102"/>
  <c r="A103"/>
  <c r="A104"/>
  <c r="A105"/>
  <c r="A106"/>
  <c r="A107"/>
  <c r="A108"/>
  <c r="A109"/>
  <c r="A110"/>
  <c r="A111"/>
  <c r="A112"/>
  <c r="A113"/>
  <c r="A114"/>
  <c r="A115"/>
  <c r="A116"/>
  <c r="A117"/>
  <c r="A118"/>
  <c r="A119"/>
  <c r="F90"/>
  <c r="F88"/>
  <c r="F87"/>
  <c r="F86"/>
  <c r="F85"/>
  <c r="F84"/>
  <c r="F83"/>
  <c r="F82"/>
  <c r="F81"/>
  <c r="F80"/>
  <c r="F79"/>
  <c r="F78"/>
  <c r="F77"/>
  <c r="F76"/>
  <c r="F75"/>
  <c r="F74"/>
  <c r="F73"/>
  <c r="F72"/>
  <c r="F71"/>
  <c r="F70"/>
  <c r="F69"/>
  <c r="F68"/>
  <c r="F67"/>
  <c r="F66"/>
  <c r="F65"/>
  <c r="F64"/>
  <c r="F63"/>
  <c r="F62"/>
  <c r="F61"/>
  <c r="F60"/>
  <c r="F59"/>
  <c r="F58"/>
  <c r="F57"/>
  <c r="F56"/>
  <c r="F55"/>
  <c r="F54"/>
  <c r="A54"/>
  <c r="A55"/>
  <c r="A56"/>
  <c r="A57"/>
  <c r="A58"/>
  <c r="A59"/>
  <c r="A60"/>
  <c r="A61"/>
  <c r="A62"/>
  <c r="A63"/>
  <c r="A64"/>
  <c r="A65"/>
  <c r="A66"/>
  <c r="A67"/>
  <c r="A68"/>
  <c r="A69"/>
  <c r="A70"/>
  <c r="A71"/>
  <c r="A72"/>
  <c r="A73"/>
  <c r="A74"/>
  <c r="A75"/>
  <c r="A76"/>
  <c r="A77"/>
  <c r="A78"/>
  <c r="A79"/>
  <c r="A80"/>
  <c r="A81"/>
  <c r="A82"/>
  <c r="A83"/>
  <c r="A84"/>
  <c r="A85"/>
  <c r="A86"/>
  <c r="A87"/>
  <c r="A88"/>
  <c r="F52"/>
  <c r="F51"/>
  <c r="F50"/>
  <c r="F49"/>
  <c r="F48"/>
  <c r="F47"/>
  <c r="F46"/>
  <c r="F45"/>
  <c r="F44"/>
  <c r="F43"/>
  <c r="F42"/>
  <c r="F41"/>
  <c r="F40"/>
  <c r="F39"/>
  <c r="F38"/>
  <c r="F37"/>
  <c r="F36"/>
  <c r="F35"/>
  <c r="A9"/>
  <c r="A10"/>
  <c r="A11"/>
  <c r="A12"/>
  <c r="A13"/>
  <c r="A14"/>
  <c r="A15"/>
  <c r="A16"/>
  <c r="A17"/>
  <c r="A18"/>
  <c r="A19"/>
  <c r="A20"/>
  <c r="A21"/>
  <c r="A22"/>
  <c r="A23"/>
  <c r="A24"/>
  <c r="A25"/>
  <c r="A26"/>
  <c r="A27"/>
  <c r="A28"/>
  <c r="A29"/>
  <c r="A30"/>
  <c r="A31"/>
  <c r="A32"/>
  <c r="A33"/>
  <c r="A36"/>
  <c r="A37"/>
  <c r="A38"/>
  <c r="A39"/>
  <c r="A40"/>
  <c r="A41"/>
  <c r="A42"/>
  <c r="A43"/>
  <c r="A44"/>
  <c r="A45"/>
  <c r="A46"/>
  <c r="A47"/>
  <c r="A48"/>
  <c r="A49"/>
  <c r="A50"/>
  <c r="A51"/>
  <c r="A52"/>
  <c r="A258" i="25"/>
  <c r="A259"/>
  <c r="A260"/>
  <c r="A261"/>
  <c r="A262"/>
  <c r="A263"/>
  <c r="F257"/>
  <c r="F256"/>
  <c r="A240"/>
  <c r="A241"/>
  <c r="A242"/>
  <c r="A243"/>
  <c r="A244"/>
  <c r="A245"/>
  <c r="A246"/>
  <c r="A247"/>
  <c r="A248"/>
  <c r="A249"/>
  <c r="A250"/>
  <c r="A251"/>
  <c r="A252"/>
  <c r="A253"/>
  <c r="A254"/>
  <c r="A255"/>
  <c r="F239"/>
  <c r="F238"/>
  <c r="F237"/>
  <c r="F236"/>
  <c r="F235"/>
  <c r="F234"/>
  <c r="F233"/>
  <c r="F232"/>
  <c r="A232"/>
  <c r="A233"/>
  <c r="A235"/>
  <c r="A236"/>
  <c r="A237"/>
  <c r="F231"/>
  <c r="F224"/>
  <c r="F223"/>
  <c r="A224"/>
  <c r="A225"/>
  <c r="A226"/>
  <c r="A227"/>
  <c r="A228"/>
  <c r="A229"/>
  <c r="A215"/>
  <c r="F214"/>
  <c r="F213"/>
  <c r="F212"/>
  <c r="F211"/>
  <c r="F210"/>
  <c r="F209"/>
  <c r="F208"/>
  <c r="F207"/>
  <c r="F206"/>
  <c r="F205"/>
  <c r="F204"/>
  <c r="F203"/>
  <c r="F202"/>
  <c r="F201"/>
  <c r="F200"/>
  <c r="A200"/>
  <c r="A201"/>
  <c r="A202"/>
  <c r="A203"/>
  <c r="A204"/>
  <c r="A205"/>
  <c r="A206"/>
  <c r="A207"/>
  <c r="A208"/>
  <c r="A209"/>
  <c r="A210"/>
  <c r="A211"/>
  <c r="A212"/>
  <c r="F186"/>
  <c r="F185"/>
  <c r="A186"/>
  <c r="A187"/>
  <c r="A188"/>
  <c r="A189"/>
  <c r="A190"/>
  <c r="A191"/>
  <c r="A192"/>
  <c r="A193"/>
  <c r="A194"/>
  <c r="A195"/>
  <c r="A196"/>
  <c r="A197"/>
  <c r="A198"/>
  <c r="F161"/>
  <c r="F160"/>
  <c r="A161"/>
  <c r="A162"/>
  <c r="A163"/>
  <c r="A164"/>
  <c r="A165"/>
  <c r="A166"/>
  <c r="A167"/>
  <c r="A168"/>
  <c r="A169"/>
  <c r="A170"/>
  <c r="A171"/>
  <c r="A172"/>
  <c r="A173"/>
  <c r="A174"/>
  <c r="A175"/>
  <c r="A176"/>
  <c r="A177"/>
  <c r="A178"/>
  <c r="A179"/>
  <c r="A180"/>
  <c r="A181"/>
  <c r="A182"/>
  <c r="A183"/>
  <c r="A184"/>
  <c r="F123"/>
  <c r="F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F119"/>
  <c r="A120"/>
  <c r="A121"/>
  <c r="F56"/>
  <c r="F55"/>
  <c r="A56"/>
  <c r="A57"/>
  <c r="A58"/>
  <c r="A59"/>
  <c r="A60"/>
  <c r="A61"/>
  <c r="A62"/>
  <c r="A63"/>
  <c r="A64"/>
  <c r="A65"/>
  <c r="A66"/>
  <c r="A67"/>
  <c r="A68"/>
  <c r="A69"/>
  <c r="A70"/>
  <c r="A71"/>
  <c r="A72"/>
  <c r="A73"/>
  <c r="A74"/>
  <c r="A75"/>
  <c r="A76"/>
  <c r="A77"/>
  <c r="A78"/>
  <c r="A79"/>
  <c r="A80"/>
  <c r="A81"/>
  <c r="A82"/>
  <c r="A83"/>
  <c r="A84"/>
  <c r="A85"/>
  <c r="A86"/>
  <c r="A87"/>
  <c r="A88"/>
  <c r="A89"/>
  <c r="A90"/>
  <c r="F37"/>
  <c r="A9"/>
  <c r="A10"/>
  <c r="A11"/>
  <c r="A12"/>
  <c r="A13"/>
  <c r="A14"/>
  <c r="A15"/>
  <c r="A16"/>
  <c r="A17"/>
  <c r="A18"/>
  <c r="A19"/>
  <c r="A20"/>
  <c r="A21"/>
  <c r="A22"/>
  <c r="A23"/>
  <c r="A24"/>
  <c r="A25"/>
  <c r="A26"/>
  <c r="A27"/>
  <c r="A28"/>
  <c r="A29"/>
  <c r="A30"/>
  <c r="A31"/>
  <c r="A32"/>
  <c r="A33"/>
  <c r="A34"/>
  <c r="A35"/>
  <c r="A38"/>
  <c r="A39"/>
  <c r="A40"/>
  <c r="A41"/>
  <c r="A42"/>
  <c r="A43"/>
  <c r="A44"/>
  <c r="A45"/>
  <c r="A46"/>
  <c r="A47"/>
  <c r="A48"/>
  <c r="A49"/>
  <c r="A50"/>
  <c r="A51"/>
  <c r="A52"/>
  <c r="A53"/>
  <c r="A54"/>
  <c r="F8"/>
  <c r="F229" i="83"/>
  <c r="F197"/>
  <c r="F222"/>
  <c r="A200"/>
  <c r="A201"/>
  <c r="A202"/>
  <c r="A203"/>
  <c r="A204"/>
  <c r="A205"/>
  <c r="A206"/>
  <c r="A207"/>
  <c r="A208"/>
  <c r="A209"/>
  <c r="A210"/>
  <c r="A211"/>
  <c r="A212"/>
  <c r="A213"/>
  <c r="F120"/>
  <c r="F214"/>
  <c r="F34"/>
  <c r="F53"/>
  <c r="F89"/>
  <c r="G36" i="25"/>
  <c r="F36"/>
  <c r="F91"/>
  <c r="E9" i="89"/>
  <c r="C39" i="90"/>
  <c r="D10" i="86"/>
  <c r="D5"/>
  <c r="D18" i="85"/>
  <c r="D11"/>
  <c r="D6"/>
  <c r="D21"/>
  <c r="B6"/>
  <c r="F199" i="25"/>
  <c r="F230"/>
  <c r="A216" i="83"/>
  <c r="A217"/>
  <c r="A218"/>
  <c r="I16" i="29"/>
  <c r="K16"/>
  <c r="I17"/>
  <c r="K17"/>
  <c r="I22"/>
  <c r="K22"/>
  <c r="I25"/>
  <c r="K25"/>
  <c r="I30"/>
  <c r="K30"/>
  <c r="I31"/>
  <c r="K31"/>
  <c r="I33"/>
  <c r="K33"/>
  <c r="I35"/>
  <c r="K35"/>
  <c r="I36"/>
  <c r="K36"/>
  <c r="I40"/>
  <c r="K40"/>
  <c r="I48"/>
  <c r="K48"/>
  <c r="I50"/>
  <c r="K50"/>
  <c r="I51"/>
  <c r="K51"/>
  <c r="I52"/>
  <c r="K52"/>
  <c r="I53"/>
  <c r="K53"/>
  <c r="I9"/>
  <c r="K9"/>
  <c r="I10"/>
  <c r="K10"/>
  <c r="I11"/>
  <c r="K11"/>
  <c r="I12"/>
  <c r="K12"/>
  <c r="I13"/>
  <c r="K13"/>
  <c r="I14"/>
  <c r="K14"/>
  <c r="I15"/>
  <c r="K15"/>
  <c r="I18"/>
  <c r="K18"/>
  <c r="I19"/>
  <c r="K19"/>
  <c r="I20"/>
  <c r="K20"/>
  <c r="I21"/>
  <c r="K21"/>
  <c r="I23"/>
  <c r="K23"/>
  <c r="I24"/>
  <c r="K24"/>
  <c r="I26"/>
  <c r="K26"/>
  <c r="I27"/>
  <c r="K27"/>
  <c r="I28"/>
  <c r="K28"/>
  <c r="I29"/>
  <c r="K29"/>
  <c r="I32"/>
  <c r="K32"/>
  <c r="I34"/>
  <c r="K34"/>
  <c r="I37"/>
  <c r="K37"/>
  <c r="I38"/>
  <c r="K38"/>
  <c r="I39"/>
  <c r="K39"/>
  <c r="I41"/>
  <c r="K41"/>
  <c r="I42"/>
  <c r="K42"/>
  <c r="I43"/>
  <c r="K43"/>
  <c r="I44"/>
  <c r="K44"/>
  <c r="I45"/>
  <c r="K45"/>
  <c r="I46"/>
  <c r="K46"/>
  <c r="I47"/>
  <c r="K47"/>
  <c r="I49"/>
  <c r="K49"/>
  <c r="I8"/>
  <c r="K8"/>
  <c r="G28" i="28"/>
  <c r="I28"/>
  <c r="K28"/>
  <c r="I10"/>
  <c r="K10"/>
  <c r="K26"/>
  <c r="B33" i="61"/>
  <c r="A29" i="28"/>
  <c r="A30"/>
  <c r="A31"/>
  <c r="A32"/>
  <c r="A33"/>
  <c r="A34"/>
  <c r="A35"/>
  <c r="A36"/>
  <c r="A37"/>
  <c r="A38"/>
  <c r="A39"/>
  <c r="A40"/>
  <c r="A41"/>
  <c r="A42"/>
  <c r="A43"/>
  <c r="A44"/>
  <c r="A11"/>
  <c r="A12"/>
  <c r="A13"/>
  <c r="A14"/>
  <c r="A15"/>
  <c r="A16"/>
  <c r="A17"/>
  <c r="A18"/>
  <c r="A19"/>
  <c r="A20"/>
  <c r="A21"/>
  <c r="A22"/>
  <c r="A23"/>
  <c r="A24"/>
  <c r="A25"/>
  <c r="E8" i="56"/>
  <c r="E7"/>
  <c r="I13" i="39"/>
  <c r="I14"/>
  <c r="A28" i="82"/>
  <c r="E35"/>
  <c r="F15"/>
  <c r="A28" i="81"/>
  <c r="E35"/>
  <c r="A28" i="80"/>
  <c r="E35"/>
  <c r="C35"/>
  <c r="D36" i="82"/>
  <c r="F36"/>
  <c r="A32"/>
  <c r="E36"/>
  <c r="C36"/>
  <c r="D36" i="81"/>
  <c r="A32"/>
  <c r="E36"/>
  <c r="F15"/>
  <c r="D36" i="80"/>
  <c r="A32"/>
  <c r="E36"/>
  <c r="C36"/>
  <c r="F15"/>
  <c r="D36" i="79"/>
  <c r="F36"/>
  <c r="A32"/>
  <c r="E36"/>
  <c r="C36"/>
  <c r="A28"/>
  <c r="E35"/>
  <c r="F35"/>
  <c r="B35"/>
  <c r="F15"/>
  <c r="L39" i="78"/>
  <c r="P39"/>
  <c r="K39"/>
  <c r="O39"/>
  <c r="J39"/>
  <c r="N39"/>
  <c r="I39"/>
  <c r="M39"/>
  <c r="L38"/>
  <c r="P38"/>
  <c r="K38"/>
  <c r="O38"/>
  <c r="J38"/>
  <c r="N38"/>
  <c r="I38"/>
  <c r="M38"/>
  <c r="L37"/>
  <c r="P37"/>
  <c r="K37"/>
  <c r="O37"/>
  <c r="J37"/>
  <c r="N37"/>
  <c r="I37"/>
  <c r="M37"/>
  <c r="L36"/>
  <c r="P36"/>
  <c r="K36"/>
  <c r="O36"/>
  <c r="J36"/>
  <c r="N36"/>
  <c r="I36"/>
  <c r="M36"/>
  <c r="L35"/>
  <c r="P35"/>
  <c r="K35"/>
  <c r="O35"/>
  <c r="J35"/>
  <c r="N35"/>
  <c r="I35"/>
  <c r="M35"/>
  <c r="L34"/>
  <c r="P34"/>
  <c r="K34"/>
  <c r="O34"/>
  <c r="J34"/>
  <c r="N34"/>
  <c r="I34"/>
  <c r="M34"/>
  <c r="L33"/>
  <c r="P33"/>
  <c r="K33"/>
  <c r="O33"/>
  <c r="J33"/>
  <c r="N33"/>
  <c r="I33"/>
  <c r="M33"/>
  <c r="L32"/>
  <c r="P32"/>
  <c r="K32"/>
  <c r="O32"/>
  <c r="J32"/>
  <c r="N32"/>
  <c r="I32"/>
  <c r="M32"/>
  <c r="L31"/>
  <c r="P31"/>
  <c r="K31"/>
  <c r="O31"/>
  <c r="J31"/>
  <c r="N31"/>
  <c r="I31"/>
  <c r="M31"/>
  <c r="L30"/>
  <c r="P30"/>
  <c r="K30"/>
  <c r="O30"/>
  <c r="J30"/>
  <c r="N30"/>
  <c r="I30"/>
  <c r="M30"/>
  <c r="L29"/>
  <c r="P29"/>
  <c r="K29"/>
  <c r="O29"/>
  <c r="J29"/>
  <c r="N29"/>
  <c r="I29"/>
  <c r="M29"/>
  <c r="L28"/>
  <c r="P28"/>
  <c r="K28"/>
  <c r="O28"/>
  <c r="J28"/>
  <c r="N28"/>
  <c r="I28"/>
  <c r="M28"/>
  <c r="L27"/>
  <c r="P27"/>
  <c r="K27"/>
  <c r="O27"/>
  <c r="J27"/>
  <c r="N27"/>
  <c r="I27"/>
  <c r="M27"/>
  <c r="L26"/>
  <c r="P26"/>
  <c r="K26"/>
  <c r="O26"/>
  <c r="J26"/>
  <c r="N26"/>
  <c r="I26"/>
  <c r="M26"/>
  <c r="L25"/>
  <c r="P25"/>
  <c r="K25"/>
  <c r="O25"/>
  <c r="J25"/>
  <c r="N25"/>
  <c r="I25"/>
  <c r="M25"/>
  <c r="L24"/>
  <c r="P24"/>
  <c r="K24"/>
  <c r="O24"/>
  <c r="J24"/>
  <c r="N24"/>
  <c r="I24"/>
  <c r="M24"/>
  <c r="L23"/>
  <c r="P23"/>
  <c r="K23"/>
  <c r="O23"/>
  <c r="J23"/>
  <c r="N23"/>
  <c r="I23"/>
  <c r="M23"/>
  <c r="G22"/>
  <c r="L22"/>
  <c r="P22"/>
  <c r="F22"/>
  <c r="K22"/>
  <c r="O22"/>
  <c r="E22"/>
  <c r="J22"/>
  <c r="N22"/>
  <c r="D22"/>
  <c r="I22"/>
  <c r="M22"/>
  <c r="L21"/>
  <c r="P21"/>
  <c r="K21"/>
  <c r="O21"/>
  <c r="J21"/>
  <c r="N21"/>
  <c r="I21"/>
  <c r="M21"/>
  <c r="L20"/>
  <c r="P20"/>
  <c r="K20"/>
  <c r="O20"/>
  <c r="J20"/>
  <c r="N20"/>
  <c r="I20"/>
  <c r="M20"/>
  <c r="L19"/>
  <c r="P19"/>
  <c r="K19"/>
  <c r="O19"/>
  <c r="J19"/>
  <c r="N19"/>
  <c r="I19"/>
  <c r="M19"/>
  <c r="L18"/>
  <c r="P18"/>
  <c r="K18"/>
  <c r="O18"/>
  <c r="J18"/>
  <c r="N18"/>
  <c r="I18"/>
  <c r="M18"/>
  <c r="L17"/>
  <c r="P17"/>
  <c r="K17"/>
  <c r="O17"/>
  <c r="J17"/>
  <c r="N17"/>
  <c r="I17"/>
  <c r="M17"/>
  <c r="L16"/>
  <c r="P16"/>
  <c r="K16"/>
  <c r="O16"/>
  <c r="J16"/>
  <c r="N16"/>
  <c r="I16"/>
  <c r="M16"/>
  <c r="L15"/>
  <c r="P15"/>
  <c r="K15"/>
  <c r="O15"/>
  <c r="J15"/>
  <c r="N15"/>
  <c r="I15"/>
  <c r="M15"/>
  <c r="L14"/>
  <c r="P14"/>
  <c r="K14"/>
  <c r="O14"/>
  <c r="J14"/>
  <c r="N14"/>
  <c r="I14"/>
  <c r="M14"/>
  <c r="L13"/>
  <c r="P13"/>
  <c r="K13"/>
  <c r="O13"/>
  <c r="J13"/>
  <c r="N13"/>
  <c r="I13"/>
  <c r="M13"/>
  <c r="L12"/>
  <c r="P12"/>
  <c r="K12"/>
  <c r="O12"/>
  <c r="J12"/>
  <c r="N12"/>
  <c r="I12"/>
  <c r="M12"/>
  <c r="L11"/>
  <c r="P11"/>
  <c r="K11"/>
  <c r="O11"/>
  <c r="J11"/>
  <c r="N11"/>
  <c r="I11"/>
  <c r="M11"/>
  <c r="L10"/>
  <c r="P10"/>
  <c r="K10"/>
  <c r="O10"/>
  <c r="J10"/>
  <c r="N10"/>
  <c r="I10"/>
  <c r="M10"/>
  <c r="L9"/>
  <c r="P9"/>
  <c r="K9"/>
  <c r="O9"/>
  <c r="J9"/>
  <c r="N9"/>
  <c r="I9"/>
  <c r="M9"/>
  <c r="L8"/>
  <c r="P8"/>
  <c r="K8"/>
  <c r="O8"/>
  <c r="J8"/>
  <c r="N8"/>
  <c r="I8"/>
  <c r="M8"/>
  <c r="L7"/>
  <c r="K7"/>
  <c r="O7"/>
  <c r="J7"/>
  <c r="I7"/>
  <c r="M7"/>
  <c r="A7"/>
  <c r="A8"/>
  <c r="A9"/>
  <c r="A10"/>
  <c r="A11"/>
  <c r="A12"/>
  <c r="A13"/>
  <c r="A14"/>
  <c r="A15"/>
  <c r="A16"/>
  <c r="A17"/>
  <c r="A18"/>
  <c r="A19"/>
  <c r="A20"/>
  <c r="A21"/>
  <c r="A22"/>
  <c r="A23"/>
  <c r="A24"/>
  <c r="A25"/>
  <c r="A26"/>
  <c r="A27"/>
  <c r="A28"/>
  <c r="A29"/>
  <c r="A30"/>
  <c r="A31"/>
  <c r="A32"/>
  <c r="A33"/>
  <c r="A34"/>
  <c r="A35"/>
  <c r="A36"/>
  <c r="A37"/>
  <c r="A38"/>
  <c r="A39"/>
  <c r="L6"/>
  <c r="K6"/>
  <c r="J6"/>
  <c r="I6"/>
  <c r="M6"/>
  <c r="E9" i="56"/>
  <c r="C39" i="44"/>
  <c r="F35" i="80"/>
  <c r="G35"/>
  <c r="N6" i="78"/>
  <c r="P6"/>
  <c r="E27" i="77"/>
  <c r="A16"/>
  <c r="A17"/>
  <c r="A18"/>
  <c r="A19"/>
  <c r="A20"/>
  <c r="A21"/>
  <c r="A22"/>
  <c r="A23"/>
  <c r="A24"/>
  <c r="A25"/>
  <c r="A26"/>
  <c r="F15"/>
  <c r="C14"/>
  <c r="C11"/>
  <c r="A11"/>
  <c r="A13"/>
  <c r="A14"/>
  <c r="D9"/>
  <c r="D27"/>
  <c r="F27"/>
  <c r="A8"/>
  <c r="V46" i="18"/>
  <c r="X45"/>
  <c r="X44"/>
  <c r="X43"/>
  <c r="V42"/>
  <c r="X41"/>
  <c r="X40"/>
  <c r="X39"/>
  <c r="V38"/>
  <c r="X37"/>
  <c r="X36"/>
  <c r="X35"/>
  <c r="V34"/>
  <c r="X33"/>
  <c r="X32"/>
  <c r="X31"/>
  <c r="X34"/>
  <c r="R46"/>
  <c r="P46"/>
  <c r="Q45"/>
  <c r="Q44"/>
  <c r="Q43"/>
  <c r="P42"/>
  <c r="Q41"/>
  <c r="Q40"/>
  <c r="R40"/>
  <c r="Q39"/>
  <c r="R39"/>
  <c r="P38"/>
  <c r="R36"/>
  <c r="R35"/>
  <c r="P34"/>
  <c r="R33"/>
  <c r="R32"/>
  <c r="R31"/>
  <c r="K46"/>
  <c r="I46"/>
  <c r="I42"/>
  <c r="K40"/>
  <c r="K39"/>
  <c r="I38"/>
  <c r="K37"/>
  <c r="K36"/>
  <c r="K35"/>
  <c r="I34"/>
  <c r="K33"/>
  <c r="K32"/>
  <c r="K31"/>
  <c r="D46"/>
  <c r="B46"/>
  <c r="D42"/>
  <c r="B42"/>
  <c r="D38"/>
  <c r="B38"/>
  <c r="D34"/>
  <c r="B34"/>
  <c r="Q19"/>
  <c r="J18"/>
  <c r="J17"/>
  <c r="K18"/>
  <c r="K20"/>
  <c r="K17"/>
  <c r="J21"/>
  <c r="J19"/>
  <c r="J23"/>
  <c r="J22"/>
  <c r="C23"/>
  <c r="C22"/>
  <c r="C21"/>
  <c r="C19"/>
  <c r="C18"/>
  <c r="C17"/>
  <c r="V24"/>
  <c r="X23"/>
  <c r="X22"/>
  <c r="X24"/>
  <c r="X21"/>
  <c r="V20"/>
  <c r="X19"/>
  <c r="X18"/>
  <c r="X17"/>
  <c r="X20"/>
  <c r="V16"/>
  <c r="X15"/>
  <c r="X14"/>
  <c r="X13"/>
  <c r="V12"/>
  <c r="X11"/>
  <c r="X10"/>
  <c r="X9"/>
  <c r="X12"/>
  <c r="P24"/>
  <c r="P20"/>
  <c r="Q18"/>
  <c r="R18"/>
  <c r="Q17"/>
  <c r="R17"/>
  <c r="P16"/>
  <c r="R14"/>
  <c r="R13"/>
  <c r="P12"/>
  <c r="R11"/>
  <c r="R10"/>
  <c r="Q9"/>
  <c r="R9"/>
  <c r="R12"/>
  <c r="I24"/>
  <c r="K24"/>
  <c r="I20"/>
  <c r="I16"/>
  <c r="J15"/>
  <c r="K15"/>
  <c r="J14"/>
  <c r="K14"/>
  <c r="J13"/>
  <c r="K13"/>
  <c r="K16"/>
  <c r="K25"/>
  <c r="I12"/>
  <c r="J11"/>
  <c r="K11"/>
  <c r="J10"/>
  <c r="K10"/>
  <c r="J9"/>
  <c r="K9"/>
  <c r="K12"/>
  <c r="D24"/>
  <c r="B20"/>
  <c r="D20"/>
  <c r="D16"/>
  <c r="D25"/>
  <c r="B16"/>
  <c r="C15"/>
  <c r="C14"/>
  <c r="C13"/>
  <c r="D12"/>
  <c r="B12"/>
  <c r="C11"/>
  <c r="C10"/>
  <c r="C9"/>
  <c r="X42"/>
  <c r="X46"/>
  <c r="I47"/>
  <c r="P47"/>
  <c r="D11" i="76"/>
  <c r="B47" i="18"/>
  <c r="D9" i="76"/>
  <c r="R38" i="18"/>
  <c r="V47"/>
  <c r="D12" i="76"/>
  <c r="K38" i="18"/>
  <c r="X16"/>
  <c r="P25"/>
  <c r="I25"/>
  <c r="B24"/>
  <c r="G21" i="15"/>
  <c r="F19"/>
  <c r="F18"/>
  <c r="G18"/>
  <c r="F17"/>
  <c r="G17"/>
  <c r="G19"/>
  <c r="G20"/>
  <c r="F7" i="13"/>
  <c r="H42" i="5"/>
  <c r="C6" i="69"/>
  <c r="C7"/>
  <c r="C8"/>
  <c r="C9"/>
  <c r="C10"/>
  <c r="C19"/>
  <c r="C12"/>
  <c r="C13"/>
  <c r="C14"/>
  <c r="C15"/>
  <c r="C16"/>
  <c r="C17"/>
  <c r="E22"/>
  <c r="C25"/>
  <c r="C26"/>
  <c r="C27"/>
  <c r="C28"/>
  <c r="C29"/>
  <c r="C32"/>
  <c r="C37"/>
  <c r="C38"/>
  <c r="C41"/>
  <c r="C50"/>
  <c r="C43"/>
  <c r="C44"/>
  <c r="C45"/>
  <c r="C46"/>
  <c r="C47"/>
  <c r="C48"/>
  <c r="E51"/>
  <c r="E52"/>
  <c r="C60"/>
  <c r="C61"/>
  <c r="C62"/>
  <c r="C67"/>
  <c r="C68"/>
  <c r="C71"/>
  <c r="C84"/>
  <c r="C73"/>
  <c r="C74"/>
  <c r="C75"/>
  <c r="C76"/>
  <c r="C77"/>
  <c r="C80"/>
  <c r="C81"/>
  <c r="C82"/>
  <c r="F85"/>
  <c r="E86"/>
  <c r="C22" i="75"/>
  <c r="C23"/>
  <c r="C24"/>
  <c r="E29"/>
  <c r="C53"/>
  <c r="C54"/>
  <c r="E58"/>
  <c r="E59"/>
  <c r="C67"/>
  <c r="C68"/>
  <c r="C69"/>
  <c r="H73"/>
  <c r="H74"/>
  <c r="H75"/>
  <c r="H76"/>
  <c r="C83"/>
  <c r="C84"/>
  <c r="C87"/>
  <c r="C88"/>
  <c r="C89"/>
  <c r="F92"/>
  <c r="E93"/>
  <c r="F96"/>
  <c r="E95"/>
  <c r="F56" i="74"/>
  <c r="B60"/>
  <c r="H60"/>
  <c r="B62"/>
  <c r="F62"/>
  <c r="D64"/>
  <c r="F44"/>
  <c r="B48"/>
  <c r="H48"/>
  <c r="B50"/>
  <c r="F50"/>
  <c r="D52"/>
  <c r="B30"/>
  <c r="F30"/>
  <c r="B16"/>
  <c r="F16"/>
  <c r="B56" i="72"/>
  <c r="F56"/>
  <c r="B57"/>
  <c r="F57"/>
  <c r="B51"/>
  <c r="F51"/>
  <c r="B52"/>
  <c r="F52"/>
  <c r="B45"/>
  <c r="F45"/>
  <c r="B46"/>
  <c r="F46"/>
  <c r="F48"/>
  <c r="F36"/>
  <c r="B37"/>
  <c r="F37"/>
  <c r="F40"/>
  <c r="B31"/>
  <c r="F31"/>
  <c r="B32"/>
  <c r="F32"/>
  <c r="B41"/>
  <c r="F41"/>
  <c r="B24"/>
  <c r="F24"/>
  <c r="B25"/>
  <c r="F25"/>
  <c r="B26"/>
  <c r="F26"/>
  <c r="F19"/>
  <c r="B20"/>
  <c r="H20"/>
  <c r="S156" i="71"/>
  <c r="S155"/>
  <c r="S154"/>
  <c r="S151"/>
  <c r="R149"/>
  <c r="R150"/>
  <c r="S146"/>
  <c r="R146"/>
  <c r="R144"/>
  <c r="P139"/>
  <c r="P138"/>
  <c r="P136"/>
  <c r="P135"/>
  <c r="S127"/>
  <c r="V126"/>
  <c r="S126"/>
  <c r="R125"/>
  <c r="R126"/>
  <c r="P118"/>
  <c r="P117"/>
  <c r="R105"/>
  <c r="T94"/>
  <c r="T95"/>
  <c r="R90"/>
  <c r="P84"/>
  <c r="P83"/>
  <c r="P85"/>
  <c r="N73"/>
  <c r="M73"/>
  <c r="W72"/>
  <c r="L72"/>
  <c r="K72"/>
  <c r="J72"/>
  <c r="H72"/>
  <c r="G72"/>
  <c r="W71"/>
  <c r="L71"/>
  <c r="K71"/>
  <c r="J71"/>
  <c r="H71"/>
  <c r="G71"/>
  <c r="W70"/>
  <c r="L70"/>
  <c r="K70"/>
  <c r="J70"/>
  <c r="H70"/>
  <c r="G70"/>
  <c r="W69"/>
  <c r="L69"/>
  <c r="K69"/>
  <c r="J69"/>
  <c r="H69"/>
  <c r="G69"/>
  <c r="W68"/>
  <c r="O68"/>
  <c r="L68"/>
  <c r="K68"/>
  <c r="J68"/>
  <c r="H68"/>
  <c r="P68"/>
  <c r="R68"/>
  <c r="T68"/>
  <c r="G68"/>
  <c r="W67"/>
  <c r="L67"/>
  <c r="K67"/>
  <c r="J67"/>
  <c r="H67"/>
  <c r="P67"/>
  <c r="R67"/>
  <c r="T67"/>
  <c r="U67"/>
  <c r="G67"/>
  <c r="W66"/>
  <c r="O66"/>
  <c r="L66"/>
  <c r="K66"/>
  <c r="J66"/>
  <c r="H66"/>
  <c r="P66"/>
  <c r="R66"/>
  <c r="T66"/>
  <c r="U66"/>
  <c r="G66"/>
  <c r="W65"/>
  <c r="L65"/>
  <c r="K65"/>
  <c r="J65"/>
  <c r="H65"/>
  <c r="G65"/>
  <c r="W64"/>
  <c r="L64"/>
  <c r="K64"/>
  <c r="J64"/>
  <c r="H64"/>
  <c r="G64"/>
  <c r="G63"/>
  <c r="E63"/>
  <c r="L63"/>
  <c r="P63"/>
  <c r="R63"/>
  <c r="T63"/>
  <c r="U63"/>
  <c r="W62"/>
  <c r="O62"/>
  <c r="L62"/>
  <c r="K62"/>
  <c r="J62"/>
  <c r="H62"/>
  <c r="G62"/>
  <c r="W61"/>
  <c r="O61"/>
  <c r="L61"/>
  <c r="K61"/>
  <c r="J61"/>
  <c r="H61"/>
  <c r="I61"/>
  <c r="G61"/>
  <c r="W60"/>
  <c r="L60"/>
  <c r="K60"/>
  <c r="J60"/>
  <c r="H60"/>
  <c r="G60"/>
  <c r="G59"/>
  <c r="E59"/>
  <c r="W59"/>
  <c r="W58"/>
  <c r="L58"/>
  <c r="K58"/>
  <c r="J58"/>
  <c r="H58"/>
  <c r="G58"/>
  <c r="L57"/>
  <c r="K57"/>
  <c r="J57"/>
  <c r="H57"/>
  <c r="P57"/>
  <c r="G57"/>
  <c r="G56"/>
  <c r="E56"/>
  <c r="L56"/>
  <c r="K56"/>
  <c r="G55"/>
  <c r="E55"/>
  <c r="K55"/>
  <c r="L54"/>
  <c r="K54"/>
  <c r="J54"/>
  <c r="G54"/>
  <c r="L53"/>
  <c r="K53"/>
  <c r="P53"/>
  <c r="J53"/>
  <c r="G53"/>
  <c r="L52"/>
  <c r="K52"/>
  <c r="J52"/>
  <c r="G52"/>
  <c r="L51"/>
  <c r="K51"/>
  <c r="J51"/>
  <c r="G51"/>
  <c r="L50"/>
  <c r="K50"/>
  <c r="P50"/>
  <c r="J50"/>
  <c r="G50"/>
  <c r="O49"/>
  <c r="L49"/>
  <c r="K49"/>
  <c r="J49"/>
  <c r="P49"/>
  <c r="G49"/>
  <c r="L48"/>
  <c r="K48"/>
  <c r="J48"/>
  <c r="G48"/>
  <c r="E47"/>
  <c r="E73"/>
  <c r="P46"/>
  <c r="G46"/>
  <c r="P45"/>
  <c r="G45"/>
  <c r="W44"/>
  <c r="L44"/>
  <c r="K44"/>
  <c r="J44"/>
  <c r="H44"/>
  <c r="I44"/>
  <c r="G44"/>
  <c r="W43"/>
  <c r="W42"/>
  <c r="A42"/>
  <c r="A43"/>
  <c r="A44"/>
  <c r="A45"/>
  <c r="A46"/>
  <c r="A47"/>
  <c r="A48"/>
  <c r="A49"/>
  <c r="A50"/>
  <c r="A51"/>
  <c r="A52"/>
  <c r="A53"/>
  <c r="A54"/>
  <c r="A55"/>
  <c r="A56"/>
  <c r="A57"/>
  <c r="A58"/>
  <c r="A59"/>
  <c r="A60"/>
  <c r="A61"/>
  <c r="A62"/>
  <c r="A63"/>
  <c r="A64"/>
  <c r="A65"/>
  <c r="A66"/>
  <c r="A67"/>
  <c r="A68"/>
  <c r="A69"/>
  <c r="A70"/>
  <c r="A71"/>
  <c r="A72"/>
  <c r="W41"/>
  <c r="F41"/>
  <c r="G41"/>
  <c r="G47"/>
  <c r="P52"/>
  <c r="P54"/>
  <c r="J56"/>
  <c r="L59"/>
  <c r="P60"/>
  <c r="R60"/>
  <c r="T60"/>
  <c r="U60"/>
  <c r="P62"/>
  <c r="R62"/>
  <c r="T62"/>
  <c r="U62"/>
  <c r="J63"/>
  <c r="W63"/>
  <c r="P65"/>
  <c r="R65"/>
  <c r="T65"/>
  <c r="U65"/>
  <c r="P69"/>
  <c r="R69"/>
  <c r="T69"/>
  <c r="U69"/>
  <c r="P70"/>
  <c r="R70"/>
  <c r="T70"/>
  <c r="P71"/>
  <c r="R71"/>
  <c r="T71"/>
  <c r="P72"/>
  <c r="R72"/>
  <c r="T72"/>
  <c r="U72"/>
  <c r="P119"/>
  <c r="P137"/>
  <c r="P140"/>
  <c r="K47"/>
  <c r="J55"/>
  <c r="J59"/>
  <c r="B45" i="74"/>
  <c r="F45"/>
  <c r="A46"/>
  <c r="G46"/>
  <c r="B52"/>
  <c r="F52"/>
  <c r="B57"/>
  <c r="F57"/>
  <c r="A58"/>
  <c r="G58"/>
  <c r="B64"/>
  <c r="F64"/>
  <c r="J47" i="71"/>
  <c r="C14" i="75"/>
  <c r="C15"/>
  <c r="C16"/>
  <c r="L47" i="71"/>
  <c r="H55"/>
  <c r="C32" i="75"/>
  <c r="L55" i="71"/>
  <c r="P58"/>
  <c r="R58"/>
  <c r="T58"/>
  <c r="U58"/>
  <c r="P64"/>
  <c r="R64"/>
  <c r="T64"/>
  <c r="U64"/>
  <c r="H56"/>
  <c r="C44" i="75"/>
  <c r="H59" i="71"/>
  <c r="K59"/>
  <c r="H63"/>
  <c r="K63"/>
  <c r="J17" i="65"/>
  <c r="K23"/>
  <c r="K30"/>
  <c r="K40"/>
  <c r="F17"/>
  <c r="D12" i="70"/>
  <c r="D15"/>
  <c r="D16"/>
  <c r="D18"/>
  <c r="D17"/>
  <c r="D13"/>
  <c r="A11"/>
  <c r="A12"/>
  <c r="A13"/>
  <c r="A14"/>
  <c r="A15"/>
  <c r="A16"/>
  <c r="A17"/>
  <c r="A18"/>
  <c r="A19"/>
  <c r="A20"/>
  <c r="A21"/>
  <c r="A22"/>
  <c r="A23"/>
  <c r="A24"/>
  <c r="B17" i="65"/>
  <c r="K25" i="59"/>
  <c r="B16" i="65"/>
  <c r="B21"/>
  <c r="F89" i="69"/>
  <c r="E88"/>
  <c r="K29" i="59"/>
  <c r="O13" i="32"/>
  <c r="K18"/>
  <c r="A8" i="66"/>
  <c r="A9"/>
  <c r="A10"/>
  <c r="A11"/>
  <c r="A12"/>
  <c r="A13"/>
  <c r="A14"/>
  <c r="A15"/>
  <c r="A16"/>
  <c r="A17"/>
  <c r="A18"/>
  <c r="A19"/>
  <c r="A20"/>
  <c r="A21"/>
  <c r="A22"/>
  <c r="A23"/>
  <c r="A24"/>
  <c r="A25"/>
  <c r="A26"/>
  <c r="A27"/>
  <c r="A28"/>
  <c r="A29"/>
  <c r="A30"/>
  <c r="A31"/>
  <c r="A32"/>
  <c r="A33"/>
  <c r="A34"/>
  <c r="F30"/>
  <c r="F29"/>
  <c r="F28"/>
  <c r="F26"/>
  <c r="F25"/>
  <c r="F24"/>
  <c r="F23"/>
  <c r="F20"/>
  <c r="F17"/>
  <c r="I11" i="68"/>
  <c r="I10"/>
  <c r="I9"/>
  <c r="I8"/>
  <c r="A13" i="67"/>
  <c r="F16" i="66"/>
  <c r="F14"/>
  <c r="F15"/>
  <c r="F19"/>
  <c r="F8"/>
  <c r="F32"/>
  <c r="F31"/>
  <c r="F21"/>
  <c r="F22"/>
  <c r="F27"/>
  <c r="F34"/>
  <c r="F10"/>
  <c r="F7"/>
  <c r="F12"/>
  <c r="F11"/>
  <c r="F13"/>
  <c r="F18"/>
  <c r="F33"/>
  <c r="F9"/>
  <c r="K74" i="59"/>
  <c r="K70"/>
  <c r="K69"/>
  <c r="A71"/>
  <c r="A72"/>
  <c r="A73"/>
  <c r="K57"/>
  <c r="K56"/>
  <c r="K51"/>
  <c r="K50"/>
  <c r="K45"/>
  <c r="K44"/>
  <c r="K40"/>
  <c r="K39"/>
  <c r="K36"/>
  <c r="K35"/>
  <c r="N24"/>
  <c r="K23"/>
  <c r="K21"/>
  <c r="K19"/>
  <c r="J19" i="65"/>
  <c r="D14"/>
  <c r="H14"/>
  <c r="D13"/>
  <c r="H13"/>
  <c r="D10"/>
  <c r="H10"/>
  <c r="J6"/>
  <c r="G35"/>
  <c r="E35"/>
  <c r="D35"/>
  <c r="C35"/>
  <c r="B35"/>
  <c r="F34"/>
  <c r="F35"/>
  <c r="H29"/>
  <c r="G29"/>
  <c r="D19"/>
  <c r="K14"/>
  <c r="L14"/>
  <c r="K12"/>
  <c r="L12"/>
  <c r="D12"/>
  <c r="H12"/>
  <c r="K11"/>
  <c r="L11"/>
  <c r="D11"/>
  <c r="H11"/>
  <c r="K10"/>
  <c r="L10"/>
  <c r="K9"/>
  <c r="L9"/>
  <c r="D9"/>
  <c r="H9"/>
  <c r="K8"/>
  <c r="L8"/>
  <c r="D8"/>
  <c r="H8"/>
  <c r="K7"/>
  <c r="L7"/>
  <c r="D7"/>
  <c r="H7"/>
  <c r="K6"/>
  <c r="L6"/>
  <c r="D6"/>
  <c r="K13"/>
  <c r="L13"/>
  <c r="K15"/>
  <c r="K16"/>
  <c r="M16"/>
  <c r="K17"/>
  <c r="B18"/>
  <c r="H6"/>
  <c r="D15"/>
  <c r="D16"/>
  <c r="H16"/>
  <c r="H18"/>
  <c r="H20"/>
  <c r="H22"/>
  <c r="D17"/>
  <c r="H17"/>
  <c r="H19"/>
  <c r="H34"/>
  <c r="I34"/>
  <c r="I35"/>
  <c r="B20"/>
  <c r="A21"/>
  <c r="J18"/>
  <c r="L16"/>
  <c r="L17"/>
  <c r="M17"/>
  <c r="H35"/>
  <c r="D18"/>
  <c r="D20"/>
  <c r="F18"/>
  <c r="F20"/>
  <c r="J31"/>
  <c r="H15"/>
  <c r="K67" i="59"/>
  <c r="K63"/>
  <c r="K62"/>
  <c r="G21" i="9"/>
  <c r="G19"/>
  <c r="A63" i="59"/>
  <c r="A64"/>
  <c r="A65"/>
  <c r="A66"/>
  <c r="I232" i="5"/>
  <c r="I197"/>
  <c r="J232"/>
  <c r="J197"/>
  <c r="H232"/>
  <c r="H197"/>
  <c r="J19"/>
  <c r="J11"/>
  <c r="J9"/>
  <c r="I19"/>
  <c r="H19"/>
  <c r="H11"/>
  <c r="I11"/>
  <c r="I9"/>
  <c r="J132"/>
  <c r="I132"/>
  <c r="I122"/>
  <c r="I118"/>
  <c r="H132"/>
  <c r="H122"/>
  <c r="H118"/>
  <c r="J124"/>
  <c r="I124"/>
  <c r="H124"/>
  <c r="J122"/>
  <c r="J118"/>
  <c r="K18" i="63"/>
  <c r="O15"/>
  <c r="O13"/>
  <c r="O20"/>
  <c r="O20" i="32"/>
  <c r="K16"/>
  <c r="I11" i="6"/>
  <c r="H11"/>
  <c r="G11"/>
  <c r="E11"/>
  <c r="F11"/>
  <c r="J11"/>
  <c r="K11"/>
  <c r="L11"/>
  <c r="D11"/>
  <c r="L15"/>
  <c r="K15"/>
  <c r="K10"/>
  <c r="J15"/>
  <c r="I90" i="5"/>
  <c r="J90"/>
  <c r="H90"/>
  <c r="I98"/>
  <c r="J98"/>
  <c r="J88"/>
  <c r="J84"/>
  <c r="I88"/>
  <c r="B6" i="61"/>
  <c r="D6"/>
  <c r="D7"/>
  <c r="D8"/>
  <c r="D9"/>
  <c r="B10"/>
  <c r="C10"/>
  <c r="D11"/>
  <c r="D12"/>
  <c r="D13"/>
  <c r="D15"/>
  <c r="D16"/>
  <c r="B20"/>
  <c r="C20"/>
  <c r="D21"/>
  <c r="D22"/>
  <c r="D23"/>
  <c r="B24"/>
  <c r="B5"/>
  <c r="D5"/>
  <c r="C24"/>
  <c r="C5"/>
  <c r="D25"/>
  <c r="D26"/>
  <c r="D27"/>
  <c r="D28"/>
  <c r="D29"/>
  <c r="D30"/>
  <c r="D31"/>
  <c r="D32"/>
  <c r="C33"/>
  <c r="D34"/>
  <c r="D33"/>
  <c r="D35"/>
  <c r="D24"/>
  <c r="F15" i="13"/>
  <c r="A7" i="12"/>
  <c r="A8"/>
  <c r="A9"/>
  <c r="A10"/>
  <c r="A11"/>
  <c r="A12"/>
  <c r="A13"/>
  <c r="J14"/>
  <c r="K14"/>
  <c r="L14"/>
  <c r="I14"/>
  <c r="R30" i="34"/>
  <c r="R29"/>
  <c r="R27"/>
  <c r="R26"/>
  <c r="R22"/>
  <c r="R19"/>
  <c r="R16"/>
  <c r="R13"/>
  <c r="R10"/>
  <c r="R28"/>
  <c r="C30" i="44"/>
  <c r="C26"/>
  <c r="C21"/>
  <c r="C16"/>
  <c r="C12"/>
  <c r="C8"/>
  <c r="F8" i="26"/>
  <c r="E9" i="43"/>
  <c r="E8"/>
  <c r="E7"/>
  <c r="E6"/>
  <c r="G12" i="57"/>
  <c r="E56" i="18"/>
  <c r="V68"/>
  <c r="S68"/>
  <c r="P68"/>
  <c r="L68"/>
  <c r="I68"/>
  <c r="E68"/>
  <c r="B68"/>
  <c r="X67"/>
  <c r="U67"/>
  <c r="R67"/>
  <c r="N67"/>
  <c r="K67"/>
  <c r="G67"/>
  <c r="D67"/>
  <c r="X66"/>
  <c r="U66"/>
  <c r="R66"/>
  <c r="K66"/>
  <c r="O66"/>
  <c r="G66"/>
  <c r="D66"/>
  <c r="X65"/>
  <c r="U65"/>
  <c r="R65"/>
  <c r="N65"/>
  <c r="K65"/>
  <c r="G65"/>
  <c r="D65"/>
  <c r="V64"/>
  <c r="S64"/>
  <c r="P64"/>
  <c r="L64"/>
  <c r="I64"/>
  <c r="E64"/>
  <c r="B64"/>
  <c r="X63"/>
  <c r="U63"/>
  <c r="R63"/>
  <c r="N63"/>
  <c r="K63"/>
  <c r="G63"/>
  <c r="D63"/>
  <c r="X62"/>
  <c r="U62"/>
  <c r="R62"/>
  <c r="N62"/>
  <c r="K62"/>
  <c r="G62"/>
  <c r="D62"/>
  <c r="X61"/>
  <c r="U61"/>
  <c r="R61"/>
  <c r="N61"/>
  <c r="K61"/>
  <c r="G61"/>
  <c r="D61"/>
  <c r="V60"/>
  <c r="S60"/>
  <c r="P60"/>
  <c r="L60"/>
  <c r="I60"/>
  <c r="B60"/>
  <c r="X59"/>
  <c r="U59"/>
  <c r="R59"/>
  <c r="N59"/>
  <c r="K59"/>
  <c r="G59"/>
  <c r="D59"/>
  <c r="X58"/>
  <c r="U58"/>
  <c r="R58"/>
  <c r="N58"/>
  <c r="K58"/>
  <c r="G58"/>
  <c r="D58"/>
  <c r="H58"/>
  <c r="Z58"/>
  <c r="X57"/>
  <c r="U57"/>
  <c r="R57"/>
  <c r="N57"/>
  <c r="N60"/>
  <c r="K57"/>
  <c r="G57"/>
  <c r="D57"/>
  <c r="V56"/>
  <c r="S56"/>
  <c r="P56"/>
  <c r="P69"/>
  <c r="L56"/>
  <c r="I56"/>
  <c r="B56"/>
  <c r="X55"/>
  <c r="U55"/>
  <c r="R55"/>
  <c r="Y55"/>
  <c r="N55"/>
  <c r="K55"/>
  <c r="G55"/>
  <c r="D55"/>
  <c r="H55"/>
  <c r="X54"/>
  <c r="U54"/>
  <c r="R54"/>
  <c r="N54"/>
  <c r="O54"/>
  <c r="K54"/>
  <c r="G54"/>
  <c r="D54"/>
  <c r="X53"/>
  <c r="U53"/>
  <c r="U56"/>
  <c r="U69"/>
  <c r="R53"/>
  <c r="R56"/>
  <c r="N53"/>
  <c r="K53"/>
  <c r="G53"/>
  <c r="G56"/>
  <c r="D53"/>
  <c r="D56"/>
  <c r="D69"/>
  <c r="S46"/>
  <c r="L46"/>
  <c r="E46"/>
  <c r="U45"/>
  <c r="N45"/>
  <c r="G45"/>
  <c r="U44"/>
  <c r="O44"/>
  <c r="G44"/>
  <c r="U43"/>
  <c r="N43"/>
  <c r="O43"/>
  <c r="G43"/>
  <c r="H43"/>
  <c r="S42"/>
  <c r="L42"/>
  <c r="E42"/>
  <c r="U41"/>
  <c r="Y41"/>
  <c r="N41"/>
  <c r="G41"/>
  <c r="H41"/>
  <c r="U40"/>
  <c r="N40"/>
  <c r="G40"/>
  <c r="U39"/>
  <c r="Y39"/>
  <c r="Y42"/>
  <c r="N39"/>
  <c r="N42"/>
  <c r="G39"/>
  <c r="S38"/>
  <c r="L38"/>
  <c r="U37"/>
  <c r="N37"/>
  <c r="G37"/>
  <c r="U36"/>
  <c r="N36"/>
  <c r="G36"/>
  <c r="U35"/>
  <c r="U38"/>
  <c r="N35"/>
  <c r="G35"/>
  <c r="G38"/>
  <c r="S34"/>
  <c r="S47"/>
  <c r="E34"/>
  <c r="E47"/>
  <c r="U33"/>
  <c r="N33"/>
  <c r="G33"/>
  <c r="U32"/>
  <c r="N32"/>
  <c r="G32"/>
  <c r="U31"/>
  <c r="U34"/>
  <c r="N31"/>
  <c r="G31"/>
  <c r="G34"/>
  <c r="S24"/>
  <c r="L24"/>
  <c r="E24"/>
  <c r="E25"/>
  <c r="U23"/>
  <c r="N23"/>
  <c r="G23"/>
  <c r="U22"/>
  <c r="O22"/>
  <c r="G22"/>
  <c r="H22"/>
  <c r="U21"/>
  <c r="N21"/>
  <c r="N24"/>
  <c r="G21"/>
  <c r="S20"/>
  <c r="S25"/>
  <c r="L20"/>
  <c r="E20"/>
  <c r="U19"/>
  <c r="N19"/>
  <c r="O19"/>
  <c r="G19"/>
  <c r="U18"/>
  <c r="Y18"/>
  <c r="N18"/>
  <c r="G18"/>
  <c r="G20"/>
  <c r="U17"/>
  <c r="N17"/>
  <c r="N20"/>
  <c r="G17"/>
  <c r="S16"/>
  <c r="L16"/>
  <c r="U15"/>
  <c r="N15"/>
  <c r="G15"/>
  <c r="H15"/>
  <c r="U14"/>
  <c r="N14"/>
  <c r="G14"/>
  <c r="U13"/>
  <c r="N13"/>
  <c r="N16"/>
  <c r="G13"/>
  <c r="G16"/>
  <c r="S12"/>
  <c r="L12"/>
  <c r="E12"/>
  <c r="U11"/>
  <c r="Y11"/>
  <c r="Y12"/>
  <c r="N11"/>
  <c r="G11"/>
  <c r="H11"/>
  <c r="U10"/>
  <c r="N10"/>
  <c r="N12"/>
  <c r="G10"/>
  <c r="U9"/>
  <c r="N9"/>
  <c r="G9"/>
  <c r="G12"/>
  <c r="U16"/>
  <c r="H14"/>
  <c r="O14"/>
  <c r="Z14"/>
  <c r="H32"/>
  <c r="O32"/>
  <c r="Y32"/>
  <c r="H36"/>
  <c r="O36"/>
  <c r="Y36"/>
  <c r="O41"/>
  <c r="Y44"/>
  <c r="H54"/>
  <c r="E10" i="43"/>
  <c r="B69" i="18"/>
  <c r="E69"/>
  <c r="G60"/>
  <c r="U60"/>
  <c r="O58"/>
  <c r="Y58"/>
  <c r="D64"/>
  <c r="K64"/>
  <c r="Y61"/>
  <c r="X64"/>
  <c r="H63"/>
  <c r="Z63"/>
  <c r="O63"/>
  <c r="Y63"/>
  <c r="H65"/>
  <c r="K68"/>
  <c r="R68"/>
  <c r="X68"/>
  <c r="Y66"/>
  <c r="I69"/>
  <c r="V69"/>
  <c r="H33"/>
  <c r="O33"/>
  <c r="Y33"/>
  <c r="O35"/>
  <c r="H37"/>
  <c r="O37"/>
  <c r="Y37"/>
  <c r="G42"/>
  <c r="U42"/>
  <c r="H40"/>
  <c r="O40"/>
  <c r="Y40"/>
  <c r="G46"/>
  <c r="N46"/>
  <c r="U46"/>
  <c r="H44"/>
  <c r="Z44"/>
  <c r="H45"/>
  <c r="O45"/>
  <c r="Y45"/>
  <c r="L47"/>
  <c r="K56"/>
  <c r="X56"/>
  <c r="O55"/>
  <c r="D60"/>
  <c r="R60"/>
  <c r="X60"/>
  <c r="H59"/>
  <c r="O59"/>
  <c r="Y59"/>
  <c r="G64"/>
  <c r="N64"/>
  <c r="U64"/>
  <c r="H62"/>
  <c r="Z62"/>
  <c r="O62"/>
  <c r="Y62"/>
  <c r="G68"/>
  <c r="G69"/>
  <c r="N68"/>
  <c r="U68"/>
  <c r="H66"/>
  <c r="H67"/>
  <c r="O67"/>
  <c r="Y67"/>
  <c r="L69"/>
  <c r="S69"/>
  <c r="O53"/>
  <c r="H57"/>
  <c r="H60"/>
  <c r="K60"/>
  <c r="H61"/>
  <c r="H64"/>
  <c r="R64"/>
  <c r="R69"/>
  <c r="O65"/>
  <c r="O68"/>
  <c r="O69"/>
  <c r="Y65"/>
  <c r="D68"/>
  <c r="Y57"/>
  <c r="O61"/>
  <c r="Y31"/>
  <c r="H35"/>
  <c r="H39"/>
  <c r="Y43"/>
  <c r="H31"/>
  <c r="H34"/>
  <c r="Y35"/>
  <c r="O39"/>
  <c r="Y9"/>
  <c r="O11"/>
  <c r="O15"/>
  <c r="U20"/>
  <c r="O18"/>
  <c r="G24"/>
  <c r="G25"/>
  <c r="U24"/>
  <c r="U25"/>
  <c r="H23"/>
  <c r="U12"/>
  <c r="O23"/>
  <c r="L25"/>
  <c r="H10"/>
  <c r="Y14"/>
  <c r="H19"/>
  <c r="Z19"/>
  <c r="O21"/>
  <c r="Y10"/>
  <c r="O13"/>
  <c r="Y13"/>
  <c r="Y17"/>
  <c r="Y20"/>
  <c r="Y25"/>
  <c r="H21"/>
  <c r="O9"/>
  <c r="H17"/>
  <c r="X69"/>
  <c r="Y60"/>
  <c r="O56"/>
  <c r="O24"/>
  <c r="Z32"/>
  <c r="Y64"/>
  <c r="H68"/>
  <c r="O16"/>
  <c r="Y38"/>
  <c r="O64"/>
  <c r="Y68"/>
  <c r="K69"/>
  <c r="Z66"/>
  <c r="Z67"/>
  <c r="Z59"/>
  <c r="Z61"/>
  <c r="Z64"/>
  <c r="G8" i="26"/>
  <c r="H8"/>
  <c r="K11" i="55"/>
  <c r="K9"/>
  <c r="K12"/>
  <c r="G19" i="54"/>
  <c r="G10"/>
  <c r="G13" i="57"/>
  <c r="F22" i="34"/>
  <c r="A8" i="30"/>
  <c r="A9"/>
  <c r="A10"/>
  <c r="A11"/>
  <c r="A12"/>
  <c r="A13"/>
  <c r="A14"/>
  <c r="A15"/>
  <c r="A16"/>
  <c r="A17"/>
  <c r="A18"/>
  <c r="A19"/>
  <c r="A20"/>
  <c r="A21"/>
  <c r="A22"/>
  <c r="A23"/>
  <c r="A24"/>
  <c r="A25"/>
  <c r="G11" i="26"/>
  <c r="F11"/>
  <c r="G10"/>
  <c r="F10"/>
  <c r="G9"/>
  <c r="F9"/>
  <c r="E8" i="53"/>
  <c r="E7"/>
  <c r="E6"/>
  <c r="E36" i="42"/>
  <c r="J33"/>
  <c r="I33"/>
  <c r="G33"/>
  <c r="F33"/>
  <c r="E33"/>
  <c r="D33"/>
  <c r="C33"/>
  <c r="B33"/>
  <c r="I29"/>
  <c r="G29"/>
  <c r="F29"/>
  <c r="E34"/>
  <c r="E29"/>
  <c r="D29"/>
  <c r="C29"/>
  <c r="B29"/>
  <c r="J23"/>
  <c r="H23"/>
  <c r="G23"/>
  <c r="D23"/>
  <c r="J18"/>
  <c r="H18"/>
  <c r="F18"/>
  <c r="E18"/>
  <c r="C18"/>
  <c r="B18"/>
  <c r="J13"/>
  <c r="J24"/>
  <c r="J36"/>
  <c r="H13"/>
  <c r="F13"/>
  <c r="E24"/>
  <c r="C13"/>
  <c r="G28" i="35"/>
  <c r="G27"/>
  <c r="F26"/>
  <c r="E26"/>
  <c r="D26"/>
  <c r="G25"/>
  <c r="G24"/>
  <c r="F23"/>
  <c r="E23"/>
  <c r="D23"/>
  <c r="G20"/>
  <c r="C20"/>
  <c r="G17"/>
  <c r="C17"/>
  <c r="G14"/>
  <c r="C14"/>
  <c r="G11"/>
  <c r="C11"/>
  <c r="G8"/>
  <c r="C35" i="34"/>
  <c r="C34"/>
  <c r="P30"/>
  <c r="O30"/>
  <c r="N30"/>
  <c r="M30"/>
  <c r="L30"/>
  <c r="K30"/>
  <c r="J30"/>
  <c r="H30"/>
  <c r="G30"/>
  <c r="F30"/>
  <c r="E30"/>
  <c r="P29"/>
  <c r="O29"/>
  <c r="N29"/>
  <c r="M29"/>
  <c r="L29"/>
  <c r="K29"/>
  <c r="J29"/>
  <c r="H29"/>
  <c r="G29"/>
  <c r="F29"/>
  <c r="E29"/>
  <c r="I28"/>
  <c r="D28"/>
  <c r="P27"/>
  <c r="O27"/>
  <c r="N27"/>
  <c r="M27"/>
  <c r="L27"/>
  <c r="K27"/>
  <c r="J27"/>
  <c r="H27"/>
  <c r="G27"/>
  <c r="F27"/>
  <c r="E27"/>
  <c r="P26"/>
  <c r="O26"/>
  <c r="N26"/>
  <c r="M26"/>
  <c r="L26"/>
  <c r="K26"/>
  <c r="J26"/>
  <c r="H26"/>
  <c r="G26"/>
  <c r="F26"/>
  <c r="E26"/>
  <c r="I25"/>
  <c r="D25"/>
  <c r="Q24"/>
  <c r="Q23"/>
  <c r="P22"/>
  <c r="O22"/>
  <c r="N22"/>
  <c r="M22"/>
  <c r="L22"/>
  <c r="K22"/>
  <c r="J22"/>
  <c r="H22"/>
  <c r="G22"/>
  <c r="E22"/>
  <c r="C22"/>
  <c r="Q21"/>
  <c r="Q20"/>
  <c r="P19"/>
  <c r="Q19"/>
  <c r="O19"/>
  <c r="N19"/>
  <c r="M19"/>
  <c r="L19"/>
  <c r="K19"/>
  <c r="J19"/>
  <c r="H19"/>
  <c r="G19"/>
  <c r="F19"/>
  <c r="E19"/>
  <c r="C19"/>
  <c r="Q18"/>
  <c r="Q17"/>
  <c r="P16"/>
  <c r="O16"/>
  <c r="N16"/>
  <c r="M16"/>
  <c r="L16"/>
  <c r="K16"/>
  <c r="J16"/>
  <c r="H16"/>
  <c r="G16"/>
  <c r="F16"/>
  <c r="E16"/>
  <c r="C16"/>
  <c r="Q15"/>
  <c r="Q14"/>
  <c r="P13"/>
  <c r="O13"/>
  <c r="N13"/>
  <c r="M13"/>
  <c r="L13"/>
  <c r="K13"/>
  <c r="J13"/>
  <c r="H13"/>
  <c r="G13"/>
  <c r="F13"/>
  <c r="Q13"/>
  <c r="E13"/>
  <c r="C13"/>
  <c r="Q12"/>
  <c r="Q27"/>
  <c r="Q11"/>
  <c r="P10"/>
  <c r="O10"/>
  <c r="O25"/>
  <c r="N10"/>
  <c r="N25"/>
  <c r="M10"/>
  <c r="M28"/>
  <c r="L10"/>
  <c r="L25"/>
  <c r="K10"/>
  <c r="K28"/>
  <c r="J10"/>
  <c r="J25"/>
  <c r="H10"/>
  <c r="H28"/>
  <c r="G10"/>
  <c r="G25"/>
  <c r="F10"/>
  <c r="Q10"/>
  <c r="E10"/>
  <c r="C10"/>
  <c r="G28"/>
  <c r="P25"/>
  <c r="I34" i="42"/>
  <c r="I36"/>
  <c r="E9" i="53"/>
  <c r="Q22" i="34"/>
  <c r="N28"/>
  <c r="Q29"/>
  <c r="L28"/>
  <c r="M25"/>
  <c r="Q26"/>
  <c r="F25"/>
  <c r="O28"/>
  <c r="G26" i="35"/>
  <c r="B34" i="42"/>
  <c r="H10" i="26"/>
  <c r="N10"/>
  <c r="H11"/>
  <c r="N11"/>
  <c r="G24" i="54"/>
  <c r="C8" i="35"/>
  <c r="C23"/>
  <c r="G23"/>
  <c r="B24" i="42"/>
  <c r="B36"/>
  <c r="H9" i="26"/>
  <c r="N9"/>
  <c r="J9"/>
  <c r="R16" i="18"/>
  <c r="Q15"/>
  <c r="Y15"/>
  <c r="Y16"/>
  <c r="R20"/>
  <c r="Y19"/>
  <c r="Y21"/>
  <c r="Z21"/>
  <c r="Q23"/>
  <c r="Y23"/>
  <c r="Z23"/>
  <c r="Q22"/>
  <c r="Y22"/>
  <c r="Q21"/>
  <c r="R24"/>
  <c r="H24"/>
  <c r="Z22"/>
  <c r="R25"/>
  <c r="J10" i="26"/>
  <c r="L10"/>
  <c r="H25" i="34"/>
  <c r="E28"/>
  <c r="F28"/>
  <c r="Q30"/>
  <c r="K25"/>
  <c r="E25"/>
  <c r="J28"/>
  <c r="P28"/>
  <c r="Q16"/>
  <c r="H24" i="42"/>
  <c r="H36"/>
  <c r="Z65" i="18"/>
  <c r="Z68"/>
  <c r="Z40"/>
  <c r="H13"/>
  <c r="O17"/>
  <c r="H9"/>
  <c r="O10"/>
  <c r="O12"/>
  <c r="O25"/>
  <c r="H18"/>
  <c r="Z18"/>
  <c r="Z20"/>
  <c r="O31"/>
  <c r="H53"/>
  <c r="Y53"/>
  <c r="O57"/>
  <c r="Y54"/>
  <c r="Z54"/>
  <c r="N56"/>
  <c r="N69"/>
  <c r="I84" i="5"/>
  <c r="M40" i="78"/>
  <c r="M41"/>
  <c r="Y24" i="18"/>
  <c r="F35" i="82"/>
  <c r="F37"/>
  <c r="C35"/>
  <c r="R25" i="34"/>
  <c r="K18" i="59"/>
  <c r="K17"/>
  <c r="K16"/>
  <c r="K15"/>
  <c r="K14"/>
  <c r="I13" i="68"/>
  <c r="P59" i="71"/>
  <c r="R59"/>
  <c r="T59"/>
  <c r="K41"/>
  <c r="F42"/>
  <c r="P48"/>
  <c r="P51"/>
  <c r="O63"/>
  <c r="S157"/>
  <c r="C85" i="75"/>
  <c r="K42" i="18"/>
  <c r="K47"/>
  <c r="R42"/>
  <c r="X38"/>
  <c r="X47"/>
  <c r="E12" i="76"/>
  <c r="D20" i="61"/>
  <c r="L10" i="6"/>
  <c r="J10"/>
  <c r="P55" i="71"/>
  <c r="P93"/>
  <c r="P94"/>
  <c r="P95"/>
  <c r="P96"/>
  <c r="C36" i="75"/>
  <c r="C39"/>
  <c r="O73" i="71"/>
  <c r="C70" i="75"/>
  <c r="C71"/>
  <c r="C55"/>
  <c r="C78" i="69"/>
  <c r="C63"/>
  <c r="C64"/>
  <c r="G16" i="15"/>
  <c r="G22"/>
  <c r="H68" i="5"/>
  <c r="X25" i="18"/>
  <c r="K34"/>
  <c r="I40" i="78"/>
  <c r="I41"/>
  <c r="C35" i="79"/>
  <c r="F36" i="80"/>
  <c r="F37"/>
  <c r="G37"/>
  <c r="C39" i="69"/>
  <c r="C40"/>
  <c r="C42"/>
  <c r="C69"/>
  <c r="C70"/>
  <c r="C83"/>
  <c r="K54" i="29"/>
  <c r="C13" i="77"/>
  <c r="Q28" i="34"/>
  <c r="Q25"/>
  <c r="N6" i="65"/>
  <c r="M6"/>
  <c r="F35" i="66"/>
  <c r="P44" i="71"/>
  <c r="R44"/>
  <c r="T44"/>
  <c r="I44" i="78"/>
  <c r="I45"/>
  <c r="I42"/>
  <c r="I46"/>
  <c r="L9" i="26"/>
  <c r="C34"/>
  <c r="E34"/>
  <c r="G34"/>
  <c r="C32"/>
  <c r="E32"/>
  <c r="G32"/>
  <c r="C33"/>
  <c r="E33"/>
  <c r="G33"/>
  <c r="C35"/>
  <c r="E35"/>
  <c r="G35"/>
  <c r="C39"/>
  <c r="E39"/>
  <c r="G39"/>
  <c r="C37"/>
  <c r="E37"/>
  <c r="G37"/>
  <c r="C38"/>
  <c r="E38"/>
  <c r="G38"/>
  <c r="C40"/>
  <c r="E40"/>
  <c r="G40"/>
  <c r="C72" i="69"/>
  <c r="C49"/>
  <c r="C51"/>
  <c r="F51"/>
  <c r="L41" i="71"/>
  <c r="K40" i="78"/>
  <c r="K41"/>
  <c r="O6"/>
  <c r="O40"/>
  <c r="O41"/>
  <c r="N7"/>
  <c r="N40"/>
  <c r="N41"/>
  <c r="J40"/>
  <c r="J41"/>
  <c r="P7"/>
  <c r="L40"/>
  <c r="L41"/>
  <c r="F36" i="81"/>
  <c r="C36"/>
  <c r="H42" i="71"/>
  <c r="J41"/>
  <c r="F43"/>
  <c r="P40" i="78"/>
  <c r="P41"/>
  <c r="F35" i="81"/>
  <c r="C35"/>
  <c r="K45" i="28"/>
  <c r="K46"/>
  <c r="K64"/>
  <c r="C12" i="77"/>
  <c r="L42" i="71"/>
  <c r="G42"/>
  <c r="K42"/>
  <c r="P42"/>
  <c r="J42"/>
  <c r="M42" i="78"/>
  <c r="M46"/>
  <c r="M44"/>
  <c r="M45"/>
  <c r="Z57" i="18"/>
  <c r="Z60"/>
  <c r="O60"/>
  <c r="Z53"/>
  <c r="Z9"/>
  <c r="H12"/>
  <c r="Z13"/>
  <c r="H20"/>
  <c r="Y56"/>
  <c r="Y69"/>
  <c r="Z31"/>
  <c r="Z17"/>
  <c r="O20"/>
  <c r="Z10"/>
  <c r="R42" i="71"/>
  <c r="T42"/>
  <c r="F37" i="81"/>
  <c r="L42" i="78"/>
  <c r="L46"/>
  <c r="L44"/>
  <c r="L45"/>
  <c r="J44"/>
  <c r="J45"/>
  <c r="J42"/>
  <c r="J46"/>
  <c r="O42"/>
  <c r="O46"/>
  <c r="O44"/>
  <c r="O45"/>
  <c r="G36" i="26"/>
  <c r="J43" i="71"/>
  <c r="J73"/>
  <c r="H43"/>
  <c r="L43"/>
  <c r="L73"/>
  <c r="K43"/>
  <c r="K73"/>
  <c r="G43"/>
  <c r="N44" i="78"/>
  <c r="N45"/>
  <c r="N42"/>
  <c r="N46"/>
  <c r="K44"/>
  <c r="K45"/>
  <c r="K42"/>
  <c r="K46"/>
  <c r="G31" i="26"/>
  <c r="P98" i="71"/>
  <c r="P106"/>
  <c r="P97"/>
  <c r="I30" i="65"/>
  <c r="I38"/>
  <c r="P43" i="71"/>
  <c r="R43"/>
  <c r="T43"/>
  <c r="P99"/>
  <c r="P107"/>
  <c r="R106"/>
  <c r="S106"/>
  <c r="S107"/>
  <c r="F7" i="25"/>
  <c r="F271"/>
  <c r="C9" i="77"/>
  <c r="G9"/>
  <c r="Z43" i="18"/>
  <c r="O46"/>
  <c r="O38"/>
  <c r="N38"/>
  <c r="N34"/>
  <c r="N47"/>
  <c r="Y46"/>
  <c r="Z45"/>
  <c r="Z37"/>
  <c r="H46"/>
  <c r="Z39"/>
  <c r="H38"/>
  <c r="Z33"/>
  <c r="Z34"/>
  <c r="Z35"/>
  <c r="Z36"/>
  <c r="Y34"/>
  <c r="R34"/>
  <c r="R47"/>
  <c r="E11" i="76"/>
  <c r="G11"/>
  <c r="Y47" i="18"/>
  <c r="O34"/>
  <c r="C85" i="69"/>
  <c r="C86"/>
  <c r="Z24" i="18"/>
  <c r="C26" i="35"/>
  <c r="J8" i="26"/>
  <c r="N8"/>
  <c r="N25" i="18"/>
  <c r="U47"/>
  <c r="Z55"/>
  <c r="Z56"/>
  <c r="Z69"/>
  <c r="H56"/>
  <c r="J64" i="5"/>
  <c r="J60"/>
  <c r="J55"/>
  <c r="H64"/>
  <c r="H60"/>
  <c r="H55"/>
  <c r="I64"/>
  <c r="I60"/>
  <c r="I55"/>
  <c r="K34" i="59"/>
  <c r="K33"/>
  <c r="K32"/>
  <c r="K31"/>
  <c r="K43"/>
  <c r="P61" i="71"/>
  <c r="R61"/>
  <c r="T61"/>
  <c r="U61"/>
  <c r="I73"/>
  <c r="B60" i="72"/>
  <c r="E61"/>
  <c r="F27"/>
  <c r="B31" i="74"/>
  <c r="F31"/>
  <c r="A32"/>
  <c r="J32"/>
  <c r="B40"/>
  <c r="F40"/>
  <c r="B34"/>
  <c r="H34"/>
  <c r="B36"/>
  <c r="J36"/>
  <c r="D40"/>
  <c r="C52" i="69"/>
  <c r="C30"/>
  <c r="C31"/>
  <c r="C33"/>
  <c r="C34"/>
  <c r="E34"/>
  <c r="G34"/>
  <c r="P42" i="78"/>
  <c r="P46"/>
  <c r="P44"/>
  <c r="P45"/>
  <c r="C28" i="34"/>
  <c r="C36"/>
  <c r="C25"/>
  <c r="H69" i="18"/>
  <c r="Z46"/>
  <c r="Z11"/>
  <c r="Z12"/>
  <c r="Z15"/>
  <c r="Z16"/>
  <c r="H16"/>
  <c r="H25"/>
  <c r="G47"/>
  <c r="H42"/>
  <c r="Z41"/>
  <c r="Z42"/>
  <c r="K76" i="59"/>
  <c r="G73" i="71"/>
  <c r="U59"/>
  <c r="U73"/>
  <c r="B20" i="74"/>
  <c r="H20"/>
  <c r="B22"/>
  <c r="F22"/>
  <c r="D26"/>
  <c r="B17"/>
  <c r="F17"/>
  <c r="A18"/>
  <c r="H18"/>
  <c r="B26"/>
  <c r="C18" i="69"/>
  <c r="C20"/>
  <c r="C22"/>
  <c r="C11"/>
  <c r="D10" i="105"/>
  <c r="D9"/>
  <c r="D17"/>
  <c r="J11" i="26"/>
  <c r="O42" i="18"/>
  <c r="D14" i="61"/>
  <c r="D10"/>
  <c r="K18" i="65"/>
  <c r="L15"/>
  <c r="L20"/>
  <c r="D25" i="70"/>
  <c r="H72" i="5"/>
  <c r="P47" i="71"/>
  <c r="P76"/>
  <c r="P77"/>
  <c r="P78"/>
  <c r="P56"/>
  <c r="P110"/>
  <c r="H41"/>
  <c r="C33" i="75"/>
  <c r="C45"/>
  <c r="B25" i="18"/>
  <c r="F37" i="79"/>
  <c r="C15" i="77"/>
  <c r="G15"/>
  <c r="C75" i="75"/>
  <c r="J68" i="5"/>
  <c r="I68"/>
  <c r="C46" i="75"/>
  <c r="C47"/>
  <c r="C34"/>
  <c r="C35"/>
  <c r="C19"/>
  <c r="C25"/>
  <c r="V25" i="18"/>
  <c r="D47"/>
  <c r="E9" i="76"/>
  <c r="G9"/>
  <c r="C36" i="95"/>
  <c r="F36"/>
  <c r="F37"/>
  <c r="F35" i="96"/>
  <c r="F37"/>
  <c r="C35"/>
  <c r="F36" i="99"/>
  <c r="C36"/>
  <c r="K45" i="87"/>
  <c r="G12" i="76"/>
  <c r="H106" i="5"/>
  <c r="H98"/>
  <c r="H88"/>
  <c r="F7" i="83"/>
  <c r="F35" i="93"/>
  <c r="F37"/>
  <c r="C35"/>
  <c r="F35" i="94"/>
  <c r="F37"/>
  <c r="G37"/>
  <c r="G35"/>
  <c r="C35"/>
  <c r="F35" i="100"/>
  <c r="C35"/>
  <c r="F36"/>
  <c r="F35" i="97"/>
  <c r="F37"/>
  <c r="C35"/>
  <c r="F35" i="98"/>
  <c r="F37"/>
  <c r="G37"/>
  <c r="G35"/>
  <c r="C35"/>
  <c r="F35" i="99"/>
  <c r="F37"/>
  <c r="C35"/>
  <c r="K26" i="87"/>
  <c r="K46"/>
  <c r="F254" i="83"/>
  <c r="C36" i="93"/>
  <c r="K45" i="88"/>
  <c r="K46"/>
  <c r="K64"/>
  <c r="C12" i="103"/>
  <c r="K63" i="87"/>
  <c r="I42" i="5"/>
  <c r="J42"/>
  <c r="F24" i="106"/>
  <c r="I37" i="84"/>
  <c r="K37"/>
  <c r="I29"/>
  <c r="K29"/>
  <c r="I72" i="5"/>
  <c r="I38" i="84"/>
  <c r="K38"/>
  <c r="I32"/>
  <c r="K32"/>
  <c r="I26"/>
  <c r="K26"/>
  <c r="H49"/>
  <c r="I49"/>
  <c r="K49"/>
  <c r="H46"/>
  <c r="I46"/>
  <c r="K46"/>
  <c r="H44"/>
  <c r="I44"/>
  <c r="K44"/>
  <c r="H42"/>
  <c r="I42"/>
  <c r="K42"/>
  <c r="H39"/>
  <c r="I39"/>
  <c r="K39"/>
  <c r="H37"/>
  <c r="H33"/>
  <c r="I33"/>
  <c r="K33"/>
  <c r="H29"/>
  <c r="H27"/>
  <c r="I27"/>
  <c r="K27"/>
  <c r="H24"/>
  <c r="I24"/>
  <c r="K24"/>
  <c r="H21"/>
  <c r="I21"/>
  <c r="K21"/>
  <c r="H19"/>
  <c r="I19"/>
  <c r="K19"/>
  <c r="H16"/>
  <c r="I16"/>
  <c r="K16"/>
  <c r="H14"/>
  <c r="I14"/>
  <c r="K14"/>
  <c r="H12"/>
  <c r="I12"/>
  <c r="K12"/>
  <c r="H10"/>
  <c r="I10"/>
  <c r="K10"/>
  <c r="I47"/>
  <c r="K47"/>
  <c r="I45"/>
  <c r="K45"/>
  <c r="I43"/>
  <c r="K43"/>
  <c r="I41"/>
  <c r="K41"/>
  <c r="I23"/>
  <c r="K23"/>
  <c r="I15"/>
  <c r="K15"/>
  <c r="I13"/>
  <c r="K13"/>
  <c r="I11"/>
  <c r="K11"/>
  <c r="I9"/>
  <c r="K9"/>
  <c r="H38"/>
  <c r="H34"/>
  <c r="I34"/>
  <c r="K34"/>
  <c r="H32"/>
  <c r="H28"/>
  <c r="I28"/>
  <c r="K28"/>
  <c r="H26"/>
  <c r="H20"/>
  <c r="I20"/>
  <c r="K20"/>
  <c r="H18"/>
  <c r="I18"/>
  <c r="K18"/>
  <c r="H47" i="18"/>
  <c r="Z38"/>
  <c r="Z47"/>
  <c r="H13" i="76"/>
  <c r="I13"/>
  <c r="G13"/>
  <c r="I70" i="5"/>
  <c r="O47" i="18"/>
  <c r="C87" i="69"/>
  <c r="H84" i="5"/>
  <c r="K54" i="84"/>
  <c r="K64" i="87"/>
  <c r="C12" i="101"/>
  <c r="F37" i="100"/>
  <c r="F268" i="83"/>
  <c r="C9" i="101"/>
  <c r="C56" i="75"/>
  <c r="C50"/>
  <c r="C74"/>
  <c r="C76"/>
  <c r="C77"/>
  <c r="P41" i="71"/>
  <c r="H73"/>
  <c r="P80"/>
  <c r="P86"/>
  <c r="P79"/>
  <c r="C44" i="26"/>
  <c r="E44"/>
  <c r="G44"/>
  <c r="C43"/>
  <c r="E43"/>
  <c r="G43"/>
  <c r="L11"/>
  <c r="C42"/>
  <c r="E42"/>
  <c r="G42"/>
  <c r="C45"/>
  <c r="E45"/>
  <c r="G45"/>
  <c r="F26" i="74"/>
  <c r="B67"/>
  <c r="M15" i="65"/>
  <c r="L18"/>
  <c r="L8" i="26"/>
  <c r="L12"/>
  <c r="C28"/>
  <c r="E28"/>
  <c r="G28"/>
  <c r="C30"/>
  <c r="E30"/>
  <c r="G30"/>
  <c r="C29"/>
  <c r="E29"/>
  <c r="G29"/>
  <c r="C27"/>
  <c r="E27"/>
  <c r="G27"/>
  <c r="Z25" i="18"/>
  <c r="C15" i="103"/>
  <c r="G15"/>
  <c r="C15" i="101"/>
  <c r="G15"/>
  <c r="C38" i="75"/>
  <c r="C40"/>
  <c r="C41"/>
  <c r="C37"/>
  <c r="P111" i="71"/>
  <c r="P112"/>
  <c r="J73" i="5"/>
  <c r="I73"/>
  <c r="F17" i="105"/>
  <c r="J70" i="5"/>
  <c r="H70"/>
  <c r="P120" i="71"/>
  <c r="P114"/>
  <c r="P113"/>
  <c r="F39" i="75"/>
  <c r="E41"/>
  <c r="G41"/>
  <c r="G26" i="26"/>
  <c r="C90" i="75"/>
  <c r="C80"/>
  <c r="C13" i="103"/>
  <c r="C13" i="101"/>
  <c r="G41" i="26"/>
  <c r="C17" i="75"/>
  <c r="P87" i="71"/>
  <c r="P88"/>
  <c r="P81"/>
  <c r="P82"/>
  <c r="R41"/>
  <c r="T41"/>
  <c r="T73"/>
  <c r="P73"/>
  <c r="G9" i="101"/>
  <c r="P89" i="71"/>
  <c r="C26" i="75"/>
  <c r="C27"/>
  <c r="C20"/>
  <c r="C21"/>
  <c r="C29"/>
  <c r="C18"/>
  <c r="G46" i="26"/>
  <c r="P128" i="71"/>
  <c r="P130"/>
  <c r="P129"/>
  <c r="P90"/>
  <c r="C48" i="75"/>
  <c r="P115" i="71"/>
  <c r="P123"/>
  <c r="P121"/>
  <c r="P122"/>
  <c r="S122"/>
  <c r="P132"/>
  <c r="P131"/>
  <c r="P141"/>
  <c r="C10" i="103"/>
  <c r="C10" i="101"/>
  <c r="C10" i="77"/>
  <c r="F30" i="75"/>
  <c r="F21"/>
  <c r="S89" i="71"/>
  <c r="S90"/>
  <c r="C51" i="75"/>
  <c r="C52"/>
  <c r="C57"/>
  <c r="C58"/>
  <c r="F58"/>
  <c r="C49"/>
  <c r="P116" i="71"/>
  <c r="P124"/>
  <c r="C59" i="75"/>
  <c r="H77"/>
  <c r="H78"/>
  <c r="F60"/>
  <c r="F76"/>
  <c r="C27" i="77"/>
  <c r="G10"/>
  <c r="G27"/>
  <c r="G10" i="103"/>
  <c r="G27"/>
  <c r="C27"/>
  <c r="C78" i="75"/>
  <c r="P133" i="71"/>
  <c r="P144"/>
  <c r="P142"/>
  <c r="T115"/>
  <c r="T116"/>
  <c r="R116"/>
  <c r="G10" i="101"/>
  <c r="G27"/>
  <c r="C27"/>
  <c r="P143" i="71"/>
  <c r="P134"/>
  <c r="P145"/>
  <c r="P149"/>
  <c r="C26" i="110"/>
  <c r="D26"/>
  <c r="I39" i="5"/>
  <c r="C9" i="110"/>
  <c r="D9"/>
  <c r="C16"/>
  <c r="D16"/>
  <c r="C21"/>
  <c r="D21"/>
  <c r="J39" i="5"/>
  <c r="H39"/>
  <c r="R151" i="71"/>
  <c r="D28" i="101"/>
  <c r="I76" i="5"/>
  <c r="I67"/>
  <c r="I65"/>
  <c r="E17" i="6"/>
  <c r="C81" i="75"/>
  <c r="C82"/>
  <c r="C91"/>
  <c r="C92"/>
  <c r="C93"/>
  <c r="E82"/>
  <c r="C79"/>
  <c r="H76" i="5"/>
  <c r="H67"/>
  <c r="H65"/>
  <c r="D16" i="6"/>
  <c r="D28" i="77"/>
  <c r="H79" i="75"/>
  <c r="J76" i="5"/>
  <c r="J67"/>
  <c r="J65"/>
  <c r="F18" i="6"/>
  <c r="D28" i="103"/>
  <c r="C94" i="75"/>
  <c r="G16" i="6"/>
  <c r="G15"/>
  <c r="G10"/>
  <c r="D15"/>
  <c r="D10"/>
  <c r="H17"/>
  <c r="H15"/>
  <c r="H10"/>
  <c r="E15"/>
  <c r="E10"/>
  <c r="R152" i="71"/>
  <c r="R153"/>
  <c r="D14" i="110"/>
  <c r="I18" i="6"/>
  <c r="I15"/>
  <c r="I10"/>
  <c r="F15"/>
  <c r="F10"/>
  <c r="D31" i="110"/>
  <c r="I46" i="5"/>
  <c r="I37"/>
  <c r="I35"/>
  <c r="J46"/>
  <c r="J37"/>
  <c r="J35"/>
  <c r="H46"/>
  <c r="H37"/>
  <c r="H35"/>
  <c r="J33"/>
  <c r="J266"/>
  <c r="I33"/>
  <c r="I266"/>
  <c r="H33"/>
  <c r="H266"/>
</calcChain>
</file>

<file path=xl/comments1.xml><?xml version="1.0" encoding="utf-8"?>
<comments xmlns="http://schemas.openxmlformats.org/spreadsheetml/2006/main">
  <authors>
    <author>Гуща</author>
  </authors>
  <commentList>
    <comment ref="H41" authorId="0">
      <text>
        <r>
          <rPr>
            <b/>
            <sz val="9"/>
            <color indexed="81"/>
            <rFont val="Tahoma"/>
            <family val="2"/>
            <charset val="204"/>
          </rPr>
          <t>Гуща:</t>
        </r>
        <r>
          <rPr>
            <sz val="9"/>
            <color indexed="81"/>
            <rFont val="Tahoma"/>
            <family val="2"/>
            <charset val="204"/>
          </rPr>
          <t xml:space="preserve">
плановый по штатному </t>
        </r>
      </text>
    </comment>
  </commentList>
</comments>
</file>

<file path=xl/comments2.xml><?xml version="1.0" encoding="utf-8"?>
<comments xmlns="http://schemas.openxmlformats.org/spreadsheetml/2006/main">
  <authors>
    <author>Гуща</author>
    <author>potapova</author>
  </authors>
  <commentList>
    <comment ref="G33" authorId="0">
      <text>
        <r>
          <rPr>
            <b/>
            <sz val="9"/>
            <color indexed="81"/>
            <rFont val="Tahoma"/>
            <family val="2"/>
            <charset val="204"/>
          </rPr>
          <t>Гуща:</t>
        </r>
        <r>
          <rPr>
            <sz val="9"/>
            <color indexed="81"/>
            <rFont val="Tahoma"/>
            <family val="2"/>
            <charset val="204"/>
          </rPr>
          <t xml:space="preserve">
см когда новые оклады появятся </t>
        </r>
      </text>
    </comment>
    <comment ref="F41" authorId="0">
      <text>
        <r>
          <rPr>
            <b/>
            <sz val="9"/>
            <color indexed="81"/>
            <rFont val="Tahoma"/>
            <family val="2"/>
            <charset val="204"/>
          </rPr>
          <t>Гуща:</t>
        </r>
        <r>
          <rPr>
            <sz val="9"/>
            <color indexed="81"/>
            <rFont val="Tahoma"/>
            <family val="2"/>
            <charset val="204"/>
          </rPr>
          <t xml:space="preserve">
указала новый расчет </t>
        </r>
      </text>
    </comment>
    <comment ref="E47" authorId="0">
      <text>
        <r>
          <rPr>
            <b/>
            <sz val="9"/>
            <color indexed="81"/>
            <rFont val="Tahoma"/>
            <family val="2"/>
            <charset val="204"/>
          </rPr>
          <t>Гуща:</t>
        </r>
        <r>
          <rPr>
            <sz val="9"/>
            <color indexed="81"/>
            <rFont val="Tahoma"/>
            <family val="2"/>
            <charset val="204"/>
          </rPr>
          <t xml:space="preserve">
+0,5 по структуре +05 по ст с 01.09.2017
</t>
        </r>
      </text>
    </comment>
    <comment ref="E54" authorId="0">
      <text>
        <r>
          <rPr>
            <b/>
            <sz val="9"/>
            <color indexed="81"/>
            <rFont val="Tahoma"/>
            <family val="2"/>
            <charset val="204"/>
          </rPr>
          <t>Гуща:</t>
        </r>
        <r>
          <rPr>
            <sz val="9"/>
            <color indexed="81"/>
            <rFont val="Tahoma"/>
            <family val="2"/>
            <charset val="204"/>
          </rPr>
          <t xml:space="preserve">
+1</t>
        </r>
      </text>
    </comment>
    <comment ref="E55" authorId="0">
      <text>
        <r>
          <rPr>
            <b/>
            <sz val="9"/>
            <color indexed="81"/>
            <rFont val="Tahoma"/>
            <family val="2"/>
            <charset val="204"/>
          </rPr>
          <t>Гуща:</t>
        </r>
        <r>
          <rPr>
            <sz val="9"/>
            <color indexed="81"/>
            <rFont val="Tahoma"/>
            <family val="2"/>
            <charset val="204"/>
          </rPr>
          <t xml:space="preserve">
+0,5 ст -0,25</t>
        </r>
      </text>
    </comment>
    <comment ref="E56" authorId="0">
      <text>
        <r>
          <rPr>
            <b/>
            <sz val="9"/>
            <color indexed="81"/>
            <rFont val="Tahoma"/>
            <family val="2"/>
            <charset val="204"/>
          </rPr>
          <t>Гуща:</t>
        </r>
        <r>
          <rPr>
            <sz val="9"/>
            <color indexed="81"/>
            <rFont val="Tahoma"/>
            <family val="2"/>
            <charset val="204"/>
          </rPr>
          <t xml:space="preserve">
+0,5-0,25</t>
        </r>
      </text>
    </comment>
    <comment ref="E60" authorId="0">
      <text>
        <r>
          <rPr>
            <b/>
            <sz val="9"/>
            <color indexed="81"/>
            <rFont val="Tahoma"/>
            <family val="2"/>
            <charset val="204"/>
          </rPr>
          <t>Гуща:</t>
        </r>
        <r>
          <rPr>
            <sz val="9"/>
            <color indexed="81"/>
            <rFont val="Tahoma"/>
            <family val="2"/>
            <charset val="204"/>
          </rPr>
          <t xml:space="preserve">
д/отпуск</t>
        </r>
      </text>
    </comment>
    <comment ref="D61" authorId="0">
      <text>
        <r>
          <rPr>
            <b/>
            <sz val="9"/>
            <color indexed="81"/>
            <rFont val="Tahoma"/>
            <family val="2"/>
            <charset val="204"/>
          </rPr>
          <t>Гуща:</t>
        </r>
        <r>
          <rPr>
            <sz val="9"/>
            <color indexed="81"/>
            <rFont val="Tahoma"/>
            <family val="2"/>
            <charset val="204"/>
          </rPr>
          <t xml:space="preserve">
4 разр</t>
        </r>
      </text>
    </comment>
    <comment ref="E63" authorId="0">
      <text>
        <r>
          <rPr>
            <b/>
            <sz val="9"/>
            <color indexed="81"/>
            <rFont val="Tahoma"/>
            <family val="2"/>
            <charset val="204"/>
          </rPr>
          <t>Гуща:</t>
        </r>
        <r>
          <rPr>
            <sz val="9"/>
            <color indexed="81"/>
            <rFont val="Tahoma"/>
            <family val="2"/>
            <charset val="204"/>
          </rPr>
          <t xml:space="preserve">
сократили 1 ст </t>
        </r>
      </text>
    </comment>
    <comment ref="D71" authorId="1">
      <text>
        <r>
          <rPr>
            <b/>
            <sz val="8"/>
            <color indexed="81"/>
            <rFont val="Tahoma"/>
            <family val="2"/>
            <charset val="204"/>
          </rPr>
          <t>potapova:</t>
        </r>
        <r>
          <rPr>
            <sz val="8"/>
            <color indexed="81"/>
            <rFont val="Tahoma"/>
            <family val="2"/>
            <charset val="204"/>
          </rPr>
          <t xml:space="preserve">
водитель автобуса</t>
        </r>
      </text>
    </comment>
    <comment ref="S79" authorId="0">
      <text>
        <r>
          <rPr>
            <b/>
            <sz val="9"/>
            <color indexed="81"/>
            <rFont val="Tahoma"/>
            <family val="2"/>
            <charset val="204"/>
          </rPr>
          <t>Гуща:</t>
        </r>
        <r>
          <rPr>
            <sz val="9"/>
            <color indexed="81"/>
            <rFont val="Tahoma"/>
            <family val="2"/>
            <charset val="204"/>
          </rPr>
          <t xml:space="preserve">
% ввзяли со штатного 01.01.2017
</t>
        </r>
      </text>
    </comment>
    <comment ref="R107" authorId="0">
      <text>
        <r>
          <rPr>
            <b/>
            <sz val="9"/>
            <color indexed="81"/>
            <rFont val="Tahoma"/>
            <family val="2"/>
            <charset val="204"/>
          </rPr>
          <t>Гуща:</t>
        </r>
        <r>
          <rPr>
            <sz val="9"/>
            <color indexed="81"/>
            <rFont val="Tahoma"/>
            <family val="2"/>
            <charset val="204"/>
          </rPr>
          <t xml:space="preserve">
сами считали % взяла со штатного 01012016</t>
        </r>
      </text>
    </comment>
    <comment ref="R124" authorId="0">
      <text>
        <r>
          <rPr>
            <b/>
            <sz val="9"/>
            <color indexed="81"/>
            <rFont val="Tahoma"/>
            <family val="2"/>
            <charset val="204"/>
          </rPr>
          <t>Гуща:</t>
        </r>
        <r>
          <rPr>
            <sz val="9"/>
            <color indexed="81"/>
            <rFont val="Tahoma"/>
            <family val="2"/>
            <charset val="204"/>
          </rPr>
          <t xml:space="preserve">
сами считали % взяла со штатного 01012016</t>
        </r>
      </text>
    </comment>
  </commentList>
</comments>
</file>

<file path=xl/comments3.xml><?xml version="1.0" encoding="utf-8"?>
<comments xmlns="http://schemas.openxmlformats.org/spreadsheetml/2006/main">
  <authors>
    <author>cls</author>
    <author>Leonova</author>
  </authors>
  <commentList>
    <comment ref="H15" authorId="0">
      <text>
        <r>
          <rPr>
            <b/>
            <sz val="9"/>
            <color indexed="81"/>
            <rFont val="Tahoma"/>
            <family val="2"/>
            <charset val="204"/>
          </rPr>
          <t>cls:</t>
        </r>
        <r>
          <rPr>
            <sz val="9"/>
            <color indexed="81"/>
            <rFont val="Tahoma"/>
            <family val="2"/>
            <charset val="204"/>
          </rPr>
          <t xml:space="preserve">
цена консервы томатные</t>
        </r>
      </text>
    </comment>
    <comment ref="D22" authorId="1">
      <text>
        <r>
          <rPr>
            <b/>
            <sz val="8"/>
            <color indexed="81"/>
            <rFont val="Tahoma"/>
            <family val="2"/>
            <charset val="204"/>
          </rPr>
          <t>Leonova:</t>
        </r>
        <r>
          <rPr>
            <sz val="8"/>
            <color indexed="81"/>
            <rFont val="Tahoma"/>
            <family val="2"/>
            <charset val="204"/>
          </rPr>
          <t xml:space="preserve">
среднее значение (55+68)/2 = 61,5</t>
        </r>
      </text>
    </comment>
    <comment ref="E22" authorId="1">
      <text>
        <r>
          <rPr>
            <b/>
            <sz val="8"/>
            <color indexed="81"/>
            <rFont val="Tahoma"/>
            <family val="2"/>
            <charset val="204"/>
          </rPr>
          <t>Leonova:</t>
        </r>
        <r>
          <rPr>
            <sz val="8"/>
            <color indexed="81"/>
            <rFont val="Tahoma"/>
            <family val="2"/>
            <charset val="204"/>
          </rPr>
          <t xml:space="preserve">
среднее значение (60,5+75)/2 = 67,75</t>
        </r>
      </text>
    </comment>
    <comment ref="F22" authorId="1">
      <text>
        <r>
          <rPr>
            <b/>
            <sz val="8"/>
            <color indexed="81"/>
            <rFont val="Tahoma"/>
            <family val="2"/>
            <charset val="204"/>
          </rPr>
          <t>Leonova:</t>
        </r>
        <r>
          <rPr>
            <sz val="8"/>
            <color indexed="81"/>
            <rFont val="Tahoma"/>
            <family val="2"/>
            <charset val="204"/>
          </rPr>
          <t xml:space="preserve">
среднее значение (77+95)/ 2 = 86</t>
        </r>
      </text>
    </comment>
    <comment ref="G22" authorId="1">
      <text>
        <r>
          <rPr>
            <b/>
            <sz val="8"/>
            <color indexed="81"/>
            <rFont val="Tahoma"/>
            <family val="2"/>
            <charset val="204"/>
          </rPr>
          <t>Leonova:</t>
        </r>
        <r>
          <rPr>
            <sz val="8"/>
            <color indexed="81"/>
            <rFont val="Tahoma"/>
            <family val="2"/>
            <charset val="204"/>
          </rPr>
          <t xml:space="preserve">
среднее значение (86+105) / 2 = 95,5</t>
        </r>
      </text>
    </comment>
    <comment ref="H25" authorId="0">
      <text>
        <r>
          <rPr>
            <b/>
            <sz val="9"/>
            <color indexed="81"/>
            <rFont val="Tahoma"/>
            <family val="2"/>
            <charset val="204"/>
          </rPr>
          <t>cls:</t>
        </r>
        <r>
          <rPr>
            <sz val="9"/>
            <color indexed="81"/>
            <rFont val="Tahoma"/>
            <family val="2"/>
            <charset val="204"/>
          </rPr>
          <t xml:space="preserve">
печень говяжья</t>
        </r>
      </text>
    </comment>
  </commentList>
</comments>
</file>

<file path=xl/comments4.xml><?xml version="1.0" encoding="utf-8"?>
<comments xmlns="http://schemas.openxmlformats.org/spreadsheetml/2006/main">
  <authors>
    <author>Гуща</author>
  </authors>
  <commentList>
    <comment ref="C8" authorId="0">
      <text>
        <r>
          <rPr>
            <b/>
            <sz val="9"/>
            <color indexed="81"/>
            <rFont val="Tahoma"/>
            <family val="2"/>
            <charset val="204"/>
          </rPr>
          <t>Гуща:</t>
        </r>
        <r>
          <rPr>
            <sz val="9"/>
            <color indexed="81"/>
            <rFont val="Tahoma"/>
            <family val="2"/>
            <charset val="204"/>
          </rPr>
          <t xml:space="preserve">
дефлятор в цене </t>
        </r>
      </text>
    </comment>
  </commentList>
</comments>
</file>

<file path=xl/comments5.xml><?xml version="1.0" encoding="utf-8"?>
<comments xmlns="http://schemas.openxmlformats.org/spreadsheetml/2006/main">
  <authors>
    <author>Гуща</author>
  </authors>
  <commentList>
    <comment ref="C8" authorId="0">
      <text>
        <r>
          <rPr>
            <b/>
            <sz val="9"/>
            <color indexed="81"/>
            <rFont val="Tahoma"/>
            <family val="2"/>
            <charset val="204"/>
          </rPr>
          <t>Гуща:</t>
        </r>
        <r>
          <rPr>
            <sz val="9"/>
            <color indexed="81"/>
            <rFont val="Tahoma"/>
            <family val="2"/>
            <charset val="204"/>
          </rPr>
          <t xml:space="preserve">
дефлятор в цене </t>
        </r>
      </text>
    </comment>
  </commentList>
</comments>
</file>

<file path=xl/comments6.xml><?xml version="1.0" encoding="utf-8"?>
<comments xmlns="http://schemas.openxmlformats.org/spreadsheetml/2006/main">
  <authors>
    <author>Гуща</author>
  </authors>
  <commentList>
    <comment ref="C8" authorId="0">
      <text>
        <r>
          <rPr>
            <b/>
            <sz val="9"/>
            <color indexed="81"/>
            <rFont val="Tahoma"/>
            <family val="2"/>
            <charset val="204"/>
          </rPr>
          <t>Гуща:</t>
        </r>
        <r>
          <rPr>
            <sz val="9"/>
            <color indexed="81"/>
            <rFont val="Tahoma"/>
            <family val="2"/>
            <charset val="204"/>
          </rPr>
          <t xml:space="preserve">
дефлятор в цене </t>
        </r>
      </text>
    </comment>
  </commentList>
</comments>
</file>

<file path=xl/sharedStrings.xml><?xml version="1.0" encoding="utf-8"?>
<sst xmlns="http://schemas.openxmlformats.org/spreadsheetml/2006/main" count="20676" uniqueCount="2922">
  <si>
    <t>иные выплаты персоналу учреждений, за исключением фонда оплаты труда</t>
  </si>
  <si>
    <t>социальные выплаты гражданам, кроме публичных нормативных социальных выплат</t>
  </si>
  <si>
    <t>иные выплаты населению</t>
  </si>
  <si>
    <t>Иные бюджетные ассигнования, всего</t>
  </si>
  <si>
    <t>уплата налогов, сборов и иных платежей, всего</t>
  </si>
  <si>
    <t>уплата налога на имущество организаций и земельного налога</t>
  </si>
  <si>
    <t>уплата прочих налогов, сборов</t>
  </si>
  <si>
    <t>уплата иных платежей</t>
  </si>
  <si>
    <t>Прочие расходы (кроме расходов на закупку товаров, работ, услуг)</t>
  </si>
  <si>
    <t>транспортные услуги</t>
  </si>
  <si>
    <t>арендная плата за пользование имуществом</t>
  </si>
  <si>
    <t>работы, услуги по содержанию имущества</t>
  </si>
  <si>
    <t>прочие работы, услуги</t>
  </si>
  <si>
    <t>прочие расходы</t>
  </si>
  <si>
    <t>увеличение стоимости основных средств</t>
  </si>
  <si>
    <t>увеличение стоимости материальных запасов</t>
  </si>
  <si>
    <t>услуги связи</t>
  </si>
  <si>
    <t>коммунальные услуги</t>
  </si>
  <si>
    <t>Остатки целевых субсидий, подлежащих перечислению в бюджет</t>
  </si>
  <si>
    <t>Остаток средств на конец года</t>
  </si>
  <si>
    <t>Год начала закупки</t>
  </si>
  <si>
    <t>Сумма выплат по расходам на закупку товаров, работ и услуг, руб.</t>
  </si>
  <si>
    <t>всего на закупки</t>
  </si>
  <si>
    <t>на 20__ г. 2-й год планового периода</t>
  </si>
  <si>
    <t>Выплаты по расходам на закупку товаров, работ, услуг, всего:</t>
  </si>
  <si>
    <t>в том числе на оплату контрактов, заключенных до начала очередного финансового года:</t>
  </si>
  <si>
    <t>на закупку товаров, работ, услуг по году начала закупки:</t>
  </si>
  <si>
    <t>Таблица № 3</t>
  </si>
  <si>
    <t>Поступление</t>
  </si>
  <si>
    <t>Выбытие</t>
  </si>
  <si>
    <t>Таблица № 4</t>
  </si>
  <si>
    <t>Объем публичных обязательств, всего:</t>
  </si>
  <si>
    <t>СТРОИТЕЛЬНЫЕ МАТЕРИАЛЫ</t>
  </si>
  <si>
    <t xml:space="preserve">3.9. Свод расходов на приобретение материальных запасов                                                                                                      (в разрезе групп товаров)  
         </t>
  </si>
  <si>
    <r>
      <t xml:space="preserve">Дети с ограниченными возможностями здоровья </t>
    </r>
    <r>
      <rPr>
        <u/>
        <sz val="12"/>
        <color indexed="10"/>
        <rFont val="Times New Roman"/>
        <family val="1"/>
        <charset val="204"/>
      </rPr>
      <t>(студенты+слушатели) без учета детей-сирот на полном гособеспечении</t>
    </r>
  </si>
  <si>
    <r>
      <t xml:space="preserve"> Осуществление работ по разработке проектно-сметной документации, проведению государственнной экспертизы проектно-сметной документации, капитальному ремонту имущества, закрепленного за бюджетными учреждениями на праве оперативного управления </t>
    </r>
    <r>
      <rPr>
        <sz val="12"/>
        <color indexed="10"/>
        <rFont val="Times New Roman"/>
        <family val="1"/>
        <charset val="204"/>
      </rPr>
      <t>(ЛСР прилагаются)</t>
    </r>
  </si>
  <si>
    <r>
      <t>Осуществление иных расходов, не относящихся к расходам, осуществляемым за счет средств субсидий на осуществление капитальных вложений в объекты капитального строительства государственной собственности Красноярского края и приобретение объектов недвижимого имущества в государственную собственность Красноярского края</t>
    </r>
    <r>
      <rPr>
        <sz val="12"/>
        <color indexed="10"/>
        <rFont val="Times New Roman"/>
        <family val="1"/>
        <charset val="204"/>
      </rPr>
      <t xml:space="preserve"> </t>
    </r>
  </si>
  <si>
    <r>
      <t xml:space="preserve">Прочие работы (услуги) </t>
    </r>
    <r>
      <rPr>
        <sz val="12"/>
        <color indexed="10"/>
        <rFont val="Times New Roman"/>
        <family val="1"/>
        <charset val="204"/>
      </rPr>
      <t>(указать по видам)</t>
    </r>
  </si>
  <si>
    <r>
      <t xml:space="preserve">Приобретение основных средств, материальных запасов </t>
    </r>
    <r>
      <rPr>
        <sz val="12"/>
        <color indexed="10"/>
        <rFont val="Times New Roman"/>
        <family val="1"/>
        <charset val="204"/>
      </rPr>
      <t>(таблицы № 3.9, 8.3, 8.3.1, 8.3.2)</t>
    </r>
  </si>
  <si>
    <r>
      <t xml:space="preserve">Оплата стоимости проезда и провоза багажа работникам организаций, финансируемых за счет средств краевого бюджета, расположенных в районах Крайнего Севера и приравненных к ним местностях, и членам их семей в случае переезда к новому месту жительства в другую местность в пределах Российской Федерации в связи с расторжением трудового договора </t>
    </r>
    <r>
      <rPr>
        <sz val="12"/>
        <color indexed="10"/>
        <rFont val="Times New Roman"/>
        <family val="1"/>
        <charset val="204"/>
      </rPr>
      <t>(таблица №8.1.)</t>
    </r>
  </si>
  <si>
    <r>
      <t xml:space="preserve">Оплата стоимости проезда и провоза багажа работникам организаций, финансируемых за счет средств краевого бюджета, расположенных в районах Крайнего Севера и приравненных к ним местностях, а также неработающим членам их семей (муж, жена, несовершеннолетние дети)  к месту использования отпуска и обратно в пределах территории Российской Федерации </t>
    </r>
    <r>
      <rPr>
        <sz val="12"/>
        <color indexed="10"/>
        <rFont val="Times New Roman"/>
        <family val="1"/>
        <charset val="204"/>
      </rPr>
      <t>(таблица № 8.2)</t>
    </r>
  </si>
  <si>
    <r>
      <t xml:space="preserve">Обеспечение бесплатным горячим питанием студентов, слушателей краевых государственных профессиональных образовательных организаций, обучающиеся за счет средств краевого бюджета </t>
    </r>
    <r>
      <rPr>
        <sz val="12"/>
        <color indexed="10"/>
        <rFont val="Times New Roman"/>
        <family val="1"/>
        <charset val="204"/>
      </rPr>
      <t>(таблица № 8.4)</t>
    </r>
  </si>
  <si>
    <t>№ 541н от 01.10.2008г, п.20</t>
  </si>
  <si>
    <t>Костюм хлопчатобумажный</t>
  </si>
  <si>
    <t>Куртка на утепляющей прокладке</t>
  </si>
  <si>
    <t>Валенки с прорезиненной подошвой</t>
  </si>
  <si>
    <t xml:space="preserve">Сапоги кожанные утепленные </t>
  </si>
  <si>
    <t>Плащ непромокаемый</t>
  </si>
  <si>
    <t xml:space="preserve">Фартук хлопчатобумажный с нагрудником </t>
  </si>
  <si>
    <t xml:space="preserve"> № 541н  от 01.10.2008г, п.46</t>
  </si>
  <si>
    <t>Машинист по стирке и ремонту спец. одежды</t>
  </si>
  <si>
    <t xml:space="preserve">Перчатки с полимерным покрытием </t>
  </si>
  <si>
    <t>№ 308 от 27.12.1983г. п.5</t>
  </si>
  <si>
    <t>Шеф-повар, повар</t>
  </si>
  <si>
    <t>Колпак белый хлопчатобумажный  или косынка</t>
  </si>
  <si>
    <t xml:space="preserve">Куртка белая хлопчатобумажная , брюки светлые хлопчатобумажные </t>
  </si>
  <si>
    <t xml:space="preserve">Фартук  белый хлопчатобумажный </t>
  </si>
  <si>
    <t>Тапочки или туфли текстильно-комбенированные на нескользящей подошве</t>
  </si>
  <si>
    <t>Тренировка с биологической обратной связью по спирографическим показателям при заболеваниях сердца и перикарда</t>
  </si>
  <si>
    <t xml:space="preserve">Регистрация электрокардиограммы </t>
  </si>
  <si>
    <t xml:space="preserve">Расшифровка, описание  и интерпретация электрокардиографических данных   </t>
  </si>
  <si>
    <t>Ультразвуковое исследование мочевого пузыря</t>
  </si>
  <si>
    <t>Ультразвуковое исследование простаты</t>
  </si>
  <si>
    <t>Исследование уровня ретикулоцитов в крови</t>
  </si>
  <si>
    <t>Микроскопическое исследование кала на простейшие</t>
  </si>
  <si>
    <t>в т.ч. дети- сироты на полном гособеспечении</t>
  </si>
  <si>
    <t>Всего</t>
  </si>
  <si>
    <t>из них на полном гособеспечении</t>
  </si>
  <si>
    <t>3=4+5+7+9+10+12</t>
  </si>
  <si>
    <t>девушки</t>
  </si>
  <si>
    <t>x</t>
  </si>
  <si>
    <t>юноши</t>
  </si>
  <si>
    <t>Приём</t>
  </si>
  <si>
    <t>Выпуск - всего (февраль)</t>
  </si>
  <si>
    <t>Выпуск - всего (июнь)</t>
  </si>
  <si>
    <t>Отсев</t>
  </si>
  <si>
    <t>Среднегодовое число студентов, учащихся</t>
  </si>
  <si>
    <t xml:space="preserve"> </t>
  </si>
  <si>
    <t>Количество групп приёма</t>
  </si>
  <si>
    <t xml:space="preserve">Количество групп выпуска </t>
  </si>
  <si>
    <t>Среднегодовое количество групп</t>
  </si>
  <si>
    <t>Средняя наполняемость групп</t>
  </si>
  <si>
    <t>*</t>
  </si>
  <si>
    <t>Обучающиеся, являющиеся детьми-сиротами и детьми, оставшимися без попечения родителей, включая детей - сирот и детей, оставшихся без попечения родителей в соответствующих графах ДОЛЖНЫ УЧИТЫВАТЬСЯ 1 РАЗ</t>
  </si>
  <si>
    <t>Заочное отделение</t>
  </si>
  <si>
    <t>Число студентов, учащихся на конец года (на 01.01.20_)</t>
  </si>
  <si>
    <t>Число студентов, учащихся на начало года (на 01.01.20_)</t>
  </si>
  <si>
    <t>Количество групп на начало года (на 01.01.20__)</t>
  </si>
  <si>
    <t>Количество групп на конец года (на 01.01.20__)</t>
  </si>
  <si>
    <t>Кол-во</t>
  </si>
  <si>
    <t>Сумма, руб.</t>
  </si>
  <si>
    <t>Юноши</t>
  </si>
  <si>
    <t>Девушки</t>
  </si>
  <si>
    <t>Кол-во дней</t>
  </si>
  <si>
    <t>Кол-во чел.</t>
  </si>
  <si>
    <t>Кол-во мес.</t>
  </si>
  <si>
    <t>Ежемесячная денежная выплата со среднедушевым доходом ниже величины прожиточного минимума</t>
  </si>
  <si>
    <t>Ежемесячное денежное поощрение за успехи в обучении</t>
  </si>
  <si>
    <t>0240004720</t>
  </si>
  <si>
    <t>0210016090</t>
  </si>
  <si>
    <t>завтрак, обед</t>
  </si>
  <si>
    <t>обед</t>
  </si>
  <si>
    <t>обед,      ужин</t>
  </si>
  <si>
    <t>обед,  ужин</t>
  </si>
  <si>
    <t>денежная компенсация взамен обеспечения бесплатным горячим питанием учащимся, при прохождении учебной или производственной практики в организациях или наличии хронических заболеваний</t>
  </si>
  <si>
    <t xml:space="preserve">денежная компенсация на приобретение питания учащимся из числа детей-сирот и детей, оставшихся без попечения родителей </t>
  </si>
  <si>
    <t>денежная компенсация взамен бесплатного питания студентам, с ограниченными возможностями здоровья, проживающим в краевых государственных профессиональных образовательных учреждениях</t>
  </si>
  <si>
    <t>Не проживающие в общежитии, в том числе:</t>
  </si>
  <si>
    <t>Количество дней питания в год</t>
  </si>
  <si>
    <t>Стоимость дневного рациона (с учетом торговой наценки по ст 226)</t>
  </si>
  <si>
    <t>Итого питание учащихся (без числа детей сирот)</t>
  </si>
  <si>
    <t>Стоимость дневного рациона</t>
  </si>
  <si>
    <t>Стоимость дневного рациона (с учетом торговой наценки по ст. 226)</t>
  </si>
  <si>
    <t>Всего питания</t>
  </si>
  <si>
    <t>Среднегодовое количество учащихся из числа детей-сирот</t>
  </si>
  <si>
    <t>Итого питание учащихся из числа детей-сирот</t>
  </si>
  <si>
    <t>Из них количество выходных, праздничных, каникулярных дней</t>
  </si>
  <si>
    <t>Увеличение стоимости дневного рациона в выходные, праздничные, каникулярные  дни (на 10 % от стоимости дневного рациона)</t>
  </si>
  <si>
    <t>Итого увеличение стоимости дневного рациона в выходные, праздничные, каникулярные  дни</t>
  </si>
  <si>
    <t>Триба полипропиленовая Контур PN20 D20*2000</t>
  </si>
  <si>
    <t xml:space="preserve">САДОВО-ОГОРОДНЫЙ ИНВЕНТАРЬ </t>
  </si>
  <si>
    <t xml:space="preserve">ИЗДЕЛИЯ  ХОЗЯЙСТВЕНО-БЫТОВОГО НАЗНАЧЕНИЯ </t>
  </si>
  <si>
    <t xml:space="preserve">2018 год </t>
  </si>
  <si>
    <t xml:space="preserve">2019-2020 год </t>
  </si>
  <si>
    <t>17 212 руб. * 2 полугодия</t>
  </si>
  <si>
    <t xml:space="preserve">подтвердить стоимость </t>
  </si>
  <si>
    <t xml:space="preserve">на 2019-2020 год </t>
  </si>
  <si>
    <t>на  2018  год и плановый период  2019-2020 годов</t>
  </si>
  <si>
    <t>и плановый период 2019-2020 годов</t>
  </si>
  <si>
    <t>"29" декабря  2017г.</t>
  </si>
  <si>
    <t>Показатели по поступлениям и выплатам краевого государственного  учреждения на 2018 год и плановый период 2019 -2020 годов</t>
  </si>
  <si>
    <t xml:space="preserve">на 2018-2020год </t>
  </si>
  <si>
    <t>в т.ч. Истекает срок в 2019-2020 г.</t>
  </si>
  <si>
    <r>
      <t xml:space="preserve">Код видов расходов: </t>
    </r>
    <r>
      <rPr>
        <b/>
        <sz val="12"/>
        <color indexed="8"/>
        <rFont val="Times New Roman"/>
        <family val="1"/>
        <charset val="204"/>
      </rPr>
      <t>244 Прочая закупка товаров, работ и услуг для обеспечения государственных (муниципальных) нужд</t>
    </r>
  </si>
  <si>
    <r>
      <t xml:space="preserve">Источник финансового обеспечения  :  </t>
    </r>
    <r>
      <rPr>
        <b/>
        <sz val="12"/>
        <color indexed="8"/>
        <rFont val="Times New Roman"/>
        <family val="1"/>
        <charset val="204"/>
      </rPr>
      <t>4 субсидии на выполнение государственного  задания</t>
    </r>
  </si>
  <si>
    <t>07522022000061001</t>
  </si>
  <si>
    <t>краевое государственное  бюджетное  общеобразовательное учреждение «Тинская   школа-интернат»</t>
  </si>
  <si>
    <t>Расшифровка к плану финансово-хозяйственной деятельности по субсидиям на иные цели</t>
  </si>
  <si>
    <r>
      <t xml:space="preserve">на </t>
    </r>
    <r>
      <rPr>
        <b/>
        <sz val="12"/>
        <color indexed="8"/>
        <rFont val="Times New Roman"/>
        <family val="1"/>
        <charset val="204"/>
      </rPr>
      <t>2018</t>
    </r>
    <r>
      <rPr>
        <sz val="12"/>
        <color indexed="8"/>
        <rFont val="Times New Roman"/>
        <family val="1"/>
        <charset val="204"/>
      </rPr>
      <t>г. очередной финансовый год</t>
    </r>
  </si>
  <si>
    <r>
      <t>на</t>
    </r>
    <r>
      <rPr>
        <b/>
        <sz val="12"/>
        <color indexed="8"/>
        <rFont val="Times New Roman"/>
        <family val="1"/>
        <charset val="204"/>
      </rPr>
      <t xml:space="preserve"> 2019</t>
    </r>
    <r>
      <rPr>
        <sz val="12"/>
        <color indexed="8"/>
        <rFont val="Times New Roman"/>
        <family val="1"/>
        <charset val="204"/>
      </rPr>
      <t xml:space="preserve"> г. 1-й год планового периода</t>
    </r>
  </si>
  <si>
    <r>
      <t xml:space="preserve">на </t>
    </r>
    <r>
      <rPr>
        <b/>
        <sz val="12"/>
        <color indexed="8"/>
        <rFont val="Times New Roman"/>
        <family val="1"/>
        <charset val="204"/>
      </rPr>
      <t>2020</t>
    </r>
    <r>
      <rPr>
        <sz val="12"/>
        <color indexed="8"/>
        <rFont val="Times New Roman"/>
        <family val="1"/>
        <charset val="204"/>
      </rPr>
      <t xml:space="preserve"> г. 2-й год планового периода</t>
    </r>
  </si>
  <si>
    <r>
      <t xml:space="preserve">на </t>
    </r>
    <r>
      <rPr>
        <b/>
        <sz val="12"/>
        <color indexed="8"/>
        <rFont val="Times New Roman"/>
        <family val="1"/>
        <charset val="204"/>
      </rPr>
      <t>2020</t>
    </r>
    <r>
      <rPr>
        <sz val="12"/>
        <color indexed="8"/>
        <rFont val="Times New Roman"/>
        <family val="1"/>
        <charset val="204"/>
      </rPr>
      <t>г. 2-й год планового периода</t>
    </r>
  </si>
  <si>
    <t>Начисленные суммы налога на прибыль и НДС</t>
  </si>
  <si>
    <t>Субсидии на выполнение государственного задания, всего</t>
  </si>
  <si>
    <t>услуга 1</t>
  </si>
  <si>
    <t>услуга 2</t>
  </si>
  <si>
    <t>наименование дохода 2</t>
  </si>
  <si>
    <t>Поступления от оказания учреждением платных услуг (выполнения работ) и иной приносящей доход деятельности, всего:</t>
  </si>
  <si>
    <t>Субсидии на осуществление капитальных вложений</t>
  </si>
  <si>
    <t>поступления от оказания  учреждением  услуг (выполнения работ), выполнение которых для физических и юридических лиц осуществляется на платной основе, всего:</t>
  </si>
  <si>
    <t>Таблица № 2.2</t>
  </si>
  <si>
    <t>Таблица № 2.3</t>
  </si>
  <si>
    <t xml:space="preserve">  (подпись)  (расшифровка подписи)</t>
  </si>
  <si>
    <t xml:space="preserve">исполнение судебных актов </t>
  </si>
  <si>
    <t>Закупка товаров, работ, услуг в целях капитального ремонта государственного имущества, из них:</t>
  </si>
  <si>
    <t>Прочая закупка товаров работ и услуг для обеспечения государственных нужд, из них</t>
  </si>
  <si>
    <t>пособия по социальной помощи населению</t>
  </si>
  <si>
    <t>Иные закупки товаров, работ и услуг для обеспечения государственных (муниципальных) нужд всего:</t>
  </si>
  <si>
    <t>исполнение судебных актов Российской Федерации и мировых соглашений по возмещению вреда, причиненного в результате незаконных действий (бездействия) органов государственной власти (государственных органов), органов местного самоуправления либо должностных лиц этих органов  а также в результате  деятельности учреждений</t>
  </si>
  <si>
    <t>фонд оплаты труда</t>
  </si>
  <si>
    <t>иные выплаты работникам учреждений в части пособий  по социальной помощи населению</t>
  </si>
  <si>
    <t>расходы на выплаты персоналу учреждений, всего:</t>
  </si>
  <si>
    <t>СОГЛАСОВАНИЕ</t>
  </si>
  <si>
    <t>Плана финансово-хозяйственной деятельности</t>
  </si>
  <si>
    <t>(наименование учреждения)</t>
  </si>
  <si>
    <t xml:space="preserve"> (фамилия, имя, отчество, занимаемая должность, телефон исполнителя)</t>
  </si>
  <si>
    <t xml:space="preserve">Фамилия, инициалы, должность визирующего </t>
  </si>
  <si>
    <t>Дата поступления (повторного поступления) на согласование</t>
  </si>
  <si>
    <t>Подпись и дата согласования</t>
  </si>
  <si>
    <t>Причина и дата возврата на доработку</t>
  </si>
  <si>
    <t>УТВЕРЖДАЮ:</t>
  </si>
  <si>
    <t>"____" _______________ 20___ г.</t>
  </si>
  <si>
    <t>КОД</t>
  </si>
  <si>
    <t>Номер документа</t>
  </si>
  <si>
    <t>Дата составления</t>
  </si>
  <si>
    <t xml:space="preserve"> ШТАТНОЕ РАСПИСАНИЕ </t>
  </si>
  <si>
    <t xml:space="preserve">УТВЕРЖДЕНО </t>
  </si>
  <si>
    <t>Приказом организации</t>
  </si>
  <si>
    <t>единиц</t>
  </si>
  <si>
    <t>Структурное подразделение</t>
  </si>
  <si>
    <t>Должность</t>
  </si>
  <si>
    <t>Кол-во штатных единиц</t>
  </si>
  <si>
    <t>Должностной оклад, руб.</t>
  </si>
  <si>
    <t>Итого:</t>
  </si>
  <si>
    <t>Ежемесячная денежная выплата детям-сиротам и детям, оставшимися без попечения родителей, лицам из числа детей-сирот и детей, оставшихся без попечения родителей</t>
  </si>
  <si>
    <t>в том числе</t>
  </si>
  <si>
    <t>3.1.</t>
  </si>
  <si>
    <t>3.2.</t>
  </si>
  <si>
    <t>код субсидии</t>
  </si>
  <si>
    <t>КОСГУ</t>
  </si>
  <si>
    <t>Социальная стипендия детям-сиротам</t>
  </si>
  <si>
    <t>Академическая стипендия</t>
  </si>
  <si>
    <t>Социальная стипендия студентам, получившим государственную социальную помощь</t>
  </si>
  <si>
    <t xml:space="preserve">Реализация основных профессиональных образовательных программ среднего профессионального образования - программ подготовки квалифицированных рабочих, служащих </t>
  </si>
  <si>
    <t>Реализация основных профессиональных образовательных программ среднего профессионального образования - программ подготовки специалистов среднего звена</t>
  </si>
  <si>
    <t>Реализация основных профессиональных образовательных программ профессионального обучения - программ профессиональной подготовки по профессиям рабочих, должностям служащих</t>
  </si>
  <si>
    <t>Источник финансового обеспечения</t>
  </si>
  <si>
    <t>№</t>
  </si>
  <si>
    <t>Пункт назначения</t>
  </si>
  <si>
    <t>Наименование мероприятия (служебная командировка, курсы по повышению квалификации, семинар и т.п.) с указанием тематики</t>
  </si>
  <si>
    <t>Цель</t>
  </si>
  <si>
    <t>Должности работников, направляемых в служебную командировку, на курсы по повышению квалификации, семинар и т.п.</t>
  </si>
  <si>
    <t>Кол-во командировок</t>
  </si>
  <si>
    <t xml:space="preserve"> 212 статья
Расходы на суточные, руб.</t>
  </si>
  <si>
    <t xml:space="preserve"> 212 статья
Расходы на проезд, руб.</t>
  </si>
  <si>
    <t>212 статья
Расходы на проживание, руб.</t>
  </si>
  <si>
    <t>Итого за 1 квартал:</t>
  </si>
  <si>
    <t>Итого за 2 квартал:</t>
  </si>
  <si>
    <t>Итого за 3 квартал:</t>
  </si>
  <si>
    <t>Итого за 4 квартал:</t>
  </si>
  <si>
    <t>ИТОГО в год:</t>
  </si>
  <si>
    <t xml:space="preserve">Количество </t>
  </si>
  <si>
    <t xml:space="preserve">Вид транспортных услуг </t>
  </si>
  <si>
    <t>Количество оказанных услуг</t>
  </si>
  <si>
    <t>Стоимость единицы услуги, руб.</t>
  </si>
  <si>
    <t>Наименование объекта</t>
  </si>
  <si>
    <t>Наименование работ, услуг</t>
  </si>
  <si>
    <t>Наименование услуг (работ)</t>
  </si>
  <si>
    <t>Наименование</t>
  </si>
  <si>
    <t>Плата за негативное воздействие на окружающую среду</t>
  </si>
  <si>
    <t>сумма аванс. платеж.</t>
  </si>
  <si>
    <t>кол-во платежей в год</t>
  </si>
  <si>
    <t>Обоснование</t>
  </si>
  <si>
    <t>Цена, руб.</t>
  </si>
  <si>
    <t>Наименование одежды, обуви, мягкого инвентаря, оборудования</t>
  </si>
  <si>
    <t>Полагается по норме</t>
  </si>
  <si>
    <t>Числен-ность  детей, чел.</t>
  </si>
  <si>
    <t>Имеется в наличии</t>
  </si>
  <si>
    <t>цена, руб.</t>
  </si>
  <si>
    <t>Расчет расходов на приобретение топлива:</t>
  </si>
  <si>
    <t>Вид топлива (марка)</t>
  </si>
  <si>
    <t>Определение антител к бледной трепонеме ( Treponema Pallidum ) в нетрепонемных тестах ( RPR, PMП) (качественное и полуколичественное исследование ) в сыворотке крови</t>
  </si>
  <si>
    <t>Маммография</t>
  </si>
  <si>
    <r>
      <t xml:space="preserve">Показатели финансового состояния краевого государственного  учреждения                                                                                                                            на </t>
    </r>
    <r>
      <rPr>
        <b/>
        <u/>
        <sz val="12"/>
        <rFont val="Times New Roman"/>
        <family val="1"/>
        <charset val="204"/>
      </rPr>
      <t xml:space="preserve">  01.10 2017   </t>
    </r>
    <r>
      <rPr>
        <b/>
        <sz val="12"/>
        <rFont val="Times New Roman"/>
        <family val="1"/>
        <charset val="204"/>
      </rPr>
      <t xml:space="preserve"> г.
(последняя отчетная дата)
</t>
    </r>
  </si>
  <si>
    <t>852</t>
  </si>
  <si>
    <t>290</t>
  </si>
  <si>
    <t>Уплата прочих налогов, сборов</t>
  </si>
  <si>
    <t>-за следующие действия, совершаемые уполномоченными органами при проведении аттестации в случаях, если такая аттестация предусмотрена законодательством Российской Федерации:  выдачу аттестата, свидетельства либо иного документа, подтверждающего уровень квалификации                                                                               (ст.333.33.,п.72 п/п 1 НК РФ)</t>
  </si>
  <si>
    <t>ФОТ в месяц с учетом районного коэффициента, надбавки за стаж работы в районах Крайнего Севера и приравненных к ним областях 60%</t>
  </si>
  <si>
    <t>ФЗП с 01.01.2017 по 31.08.2017:</t>
  </si>
  <si>
    <t>Фонд стимулирующих выплат с 01.01.2017 по 31.08.2017:</t>
  </si>
  <si>
    <t>Всего ФЗП с 01.01.2017 по 31.08.2017</t>
  </si>
  <si>
    <t>ФЗП с 01.09.2017 по 30.11.2017:</t>
  </si>
  <si>
    <t>Фонд стимулирующих выплат с 01.09.2017 по 30.11.2017:</t>
  </si>
  <si>
    <t>Всего ФЗП с 01.09.2017 по 30.11.2017</t>
  </si>
  <si>
    <t>ФЗП с 01.12.2017 по 31.12.2017:</t>
  </si>
  <si>
    <t xml:space="preserve">молодые дали плюсом </t>
  </si>
  <si>
    <t>Фонд стимулирующих выплат с 01.12.2017 по 31.12.2017:</t>
  </si>
  <si>
    <t>Всего ФЗП с 01.12.2017 по 31.12.2017</t>
  </si>
  <si>
    <t>ФОТ для замены работников на время их отпусков:            с 01.01.2017 по 31.12.2017:</t>
  </si>
  <si>
    <t>ФЗП с 01.01.2017 по 31.12.2017:</t>
  </si>
  <si>
    <t>Фонд стимулирующих выплат с 01.01.2017 по 31.12.2017:</t>
  </si>
  <si>
    <t>Всего ФЗП с 01.01.2017 по 31.12.2017</t>
  </si>
  <si>
    <t>ФЗП с 01.01.2017 по 30.09.2017:</t>
  </si>
  <si>
    <t>Фонд стимулирующих выплат с 01.01.2017 по 30.09.2017:</t>
  </si>
  <si>
    <t>Всего ФЗП с 01.01.2017 по 30.09.2017</t>
  </si>
  <si>
    <t>ФЗП с 01.10.2017 по 30.11.2017:</t>
  </si>
  <si>
    <t>Фонд стимулирующих выплат с 01.10.2017 по 30.11.2017:</t>
  </si>
  <si>
    <t>Всего ФЗП с 01.10.2017 по 30.11.2017</t>
  </si>
  <si>
    <t>дали плюс</t>
  </si>
  <si>
    <t>ФЗП с 01.09.2017 по 31.10.2017:</t>
  </si>
  <si>
    <t>Фонд стимулирующих выплат с 01.09.2017 по 31.10.2017:</t>
  </si>
  <si>
    <t>Всего ФЗП с 01.09.2017 по 31.10.2017</t>
  </si>
  <si>
    <t>ФОТ для замены работников на время их отпусков:                  с 01.01.2017 по 31.12.2017:</t>
  </si>
  <si>
    <t>ФЗП с 01.11.2017 по 30.11.2017:</t>
  </si>
  <si>
    <t>Фонд стимулирующих выплат с 01.11.2017 по 30.11.2017:</t>
  </si>
  <si>
    <t>Всего ФЗП с 01.11.2017 по 30.11.2017</t>
  </si>
  <si>
    <t xml:space="preserve">РВ дали плюсом </t>
  </si>
  <si>
    <t>Итого ФОТ на 2017 г.</t>
  </si>
  <si>
    <t>Приложение № 5
к Порядку составления и утверждения плана финансово-хозяйственной деятельности краевых государственных бюджетных и автономных учреждений, в отношении которых министерство образования Красноярского края осуществляет функции и полномочия учредителя, утвержденному приказом министерства образования Красноярского края
от 26.06.2017 № 31-11-04</t>
  </si>
  <si>
    <t>Приложение № 1
к Порядку составления и утверждения плана финансово-хозяйственной деятельности краевых государственных бюджетных и автономных учреждений, в отношении которых министерство образования Красноярского края осуществляет функции и полномочия учредителя, утвержденному приказом министерства образования Красноярского края
от 26.06.2017  №  31-11-04</t>
  </si>
  <si>
    <t>Справка №  3</t>
  </si>
  <si>
    <t>"14" ноября 2017г.</t>
  </si>
  <si>
    <t>внесены изменения в ПФХД от 29.11. 2017, по письму   за № 671 от 29.11.2017</t>
  </si>
  <si>
    <t>Источник финансового обеспечения  : субсидии на выполнение государственного  задания</t>
  </si>
  <si>
    <r>
      <t xml:space="preserve">Дератизация и дезинфекция </t>
    </r>
    <r>
      <rPr>
        <sz val="12"/>
        <color indexed="9"/>
        <rFont val="Times New Roman"/>
        <family val="1"/>
        <charset val="204"/>
      </rPr>
      <t xml:space="preserve">( контракт № 441 от 11.01.2017г. с ИП Овчарова Татьяна Петровна) </t>
    </r>
  </si>
  <si>
    <r>
      <t>Оплата за техническое обслуживание  станции радиосистемы передачи извещений "Тандем IP-И"</t>
    </r>
    <r>
      <rPr>
        <sz val="12"/>
        <color indexed="9"/>
        <rFont val="Times New Roman"/>
        <family val="1"/>
        <charset val="204"/>
      </rPr>
      <t>( контракт № ТО-213/17 от 01.01.2017 г. с ООО "ЭлСиБ")</t>
    </r>
  </si>
  <si>
    <r>
      <rPr>
        <sz val="12"/>
        <rFont val="Times New Roman"/>
        <family val="1"/>
        <charset val="204"/>
      </rPr>
      <t>Услуги  по огнезащитной обработке деревянных конструкций кровли</t>
    </r>
    <r>
      <rPr>
        <sz val="12"/>
        <color indexed="9"/>
        <rFont val="Times New Roman"/>
        <family val="1"/>
        <charset val="204"/>
      </rPr>
      <t xml:space="preserve"> (контракт № ДП -1/17 от 16.03.2017 с ООО «Формула строительства»)</t>
    </r>
  </si>
  <si>
    <r>
      <rPr>
        <sz val="12"/>
        <rFont val="Times New Roman"/>
        <family val="1"/>
        <charset val="204"/>
      </rPr>
      <t xml:space="preserve">Заправка катриджа </t>
    </r>
    <r>
      <rPr>
        <sz val="12"/>
        <color indexed="9"/>
        <rFont val="Times New Roman"/>
        <family val="1"/>
        <charset val="204"/>
      </rPr>
      <t>онтракт № ДП -1/17 от 16.03.2017 с ООО «Формула строительства»)</t>
    </r>
  </si>
  <si>
    <t>Код видов расходов: 244</t>
  </si>
  <si>
    <t xml:space="preserve">3000 руб.*12 мес.*2 объекта </t>
  </si>
  <si>
    <r>
      <rPr>
        <sz val="12"/>
        <rFont val="Times New Roman"/>
        <family val="1"/>
        <charset val="204"/>
      </rPr>
      <t xml:space="preserve">Промывка и опрессовка отопительной системы </t>
    </r>
    <r>
      <rPr>
        <sz val="12"/>
        <color indexed="9"/>
        <rFont val="Times New Roman"/>
        <family val="1"/>
        <charset val="204"/>
      </rPr>
      <t>кт № ДП -1/17 от 16.03.2017 с ООО «Формула строительства»)</t>
    </r>
  </si>
  <si>
    <r>
      <t>Техническое обслуживание средств пожарной сигнализации</t>
    </r>
    <r>
      <rPr>
        <sz val="12"/>
        <color indexed="9"/>
        <rFont val="Times New Roman"/>
        <family val="1"/>
        <charset val="204"/>
      </rPr>
      <t>(контракт № 15 от 01.01.2017г. с ООО"Мавин Техникс", контракт № 134 от 01.01.2017г. с ООО"Мавин Техникс" )</t>
    </r>
  </si>
  <si>
    <t>7035,00 руб.*4 кв.</t>
  </si>
  <si>
    <r>
      <t xml:space="preserve">Ремонт и техническое обслуживание транспорта </t>
    </r>
    <r>
      <rPr>
        <sz val="12"/>
        <color indexed="9"/>
        <rFont val="Times New Roman"/>
        <family val="1"/>
        <charset val="204"/>
      </rPr>
      <t>Техникс", контракт № 134 от 01.01.2017г. с ООО"Мавин Техникс" )</t>
    </r>
  </si>
  <si>
    <r>
      <t>Проведение испытаний пожарных кранов</t>
    </r>
    <r>
      <rPr>
        <sz val="12"/>
        <color indexed="9"/>
        <rFont val="Times New Roman"/>
        <family val="1"/>
        <charset val="204"/>
      </rPr>
      <t xml:space="preserve"> контракт № 140249/17 от 25.04.2017г. с ФБУЗ "Центр гигиены и эпидемиологии в Красноярском крае")</t>
    </r>
  </si>
  <si>
    <t>1600 руб.*3 шт.</t>
  </si>
  <si>
    <r>
      <t>Техническое обслуживание системы видеонаблюдения</t>
    </r>
    <r>
      <rPr>
        <sz val="12"/>
        <color indexed="9"/>
        <rFont val="Times New Roman"/>
        <family val="1"/>
        <charset val="204"/>
      </rPr>
      <t>(контракт № 979  от 15.03.2017г. с Компания ООО"РосЭкоАудит"  )</t>
    </r>
  </si>
  <si>
    <t xml:space="preserve">1236,36 руб. * 12 мес. </t>
  </si>
  <si>
    <r>
      <t xml:space="preserve">Диагностический контроль транспортных средств </t>
    </r>
    <r>
      <rPr>
        <sz val="12"/>
        <color indexed="9"/>
        <rFont val="Times New Roman"/>
        <family val="1"/>
        <charset val="204"/>
      </rPr>
      <t>ехникс", контракт № 134 от 01.01.2017г. с ООО"Мавин Техникс" )</t>
    </r>
  </si>
  <si>
    <t xml:space="preserve">624 руб.*2 ед. ,                            1229 руб.*1ед.,                                   1267 руб.*1 ед*2 раза </t>
  </si>
  <si>
    <t xml:space="preserve">3146,86 руб.*12 мес.,                   820,70 руб.* 2 мес. </t>
  </si>
  <si>
    <r>
      <rPr>
        <sz val="12"/>
        <rFont val="Times New Roman"/>
        <family val="1"/>
        <charset val="204"/>
      </rPr>
      <t xml:space="preserve">Ремонт бытовой техники  </t>
    </r>
    <r>
      <rPr>
        <sz val="12"/>
        <color indexed="9"/>
        <rFont val="Times New Roman"/>
        <family val="1"/>
        <charset val="204"/>
      </rPr>
      <t>онтракт № ДП -1/17 от 16.03.2017 с ООО «Формула строительства»)</t>
    </r>
  </si>
  <si>
    <r>
      <rPr>
        <sz val="12"/>
        <rFont val="Times New Roman"/>
        <family val="1"/>
        <charset val="204"/>
      </rPr>
      <t>Поверка ( колибровка) средств измерений</t>
    </r>
    <r>
      <rPr>
        <sz val="12"/>
        <color indexed="9"/>
        <rFont val="Times New Roman"/>
        <family val="1"/>
        <charset val="204"/>
      </rPr>
      <t>тракт № ДП -1/17 от 16.03.2017 с ООО «Формула строительства»)</t>
    </r>
  </si>
  <si>
    <t>№ 678</t>
  </si>
  <si>
    <t>Расчет на внесение изменений в ПФХД  по письму № 678  от 14.12.2017года.</t>
  </si>
  <si>
    <t>18790,00 руб. контракт  с ООО "ГАЗавторемонт"  № 17/07-31 от 31.07.2017 ;                               15840 руб.  контракт с ИП Лебедевым А.Л.  № 004 от 20.02.2017</t>
  </si>
  <si>
    <t>30361,89 руб. контракт с ООО "КСЕНОН+"  № 032 от 01.08.2017</t>
  </si>
  <si>
    <t xml:space="preserve">28870 руб. контракт с ИП Ставеров И.В. № 11 от 11.07.2017 </t>
  </si>
  <si>
    <t>11582 руб. контракт с ООО "Феникс" №033 от 01.08.2017</t>
  </si>
  <si>
    <t>32591,91 руб. контракт  с ООО "КСЕНОН+"  № 003 от 20.02.2017;                                          29231,58 руб. контракт  с ООО "КСЕНОН+"  № 70 от 20.11.2017</t>
  </si>
  <si>
    <t>13493,30 руб. контракт с ФБУ "Красноярский ЦСМ" № 10829/М от 05.12.2017</t>
  </si>
  <si>
    <t>Код видов расходов : 111</t>
  </si>
  <si>
    <t>Источник финансового обеспечения:  субсидии на выполнение государственного  задания</t>
  </si>
  <si>
    <t>Постановлением</t>
  </si>
  <si>
    <t>СОГЛАСОВАНО:</t>
  </si>
  <si>
    <t>Первый заместитель министра образования и науки</t>
  </si>
  <si>
    <t xml:space="preserve">Директор КГБОУ Тинской </t>
  </si>
  <si>
    <t>Красноярского края</t>
  </si>
  <si>
    <t xml:space="preserve">школы-интернат </t>
  </si>
  <si>
    <t>____________________ Н.В. Анохина</t>
  </si>
  <si>
    <t>Начальник отдела специального образования</t>
  </si>
  <si>
    <t>____________________  М.Г. Шуранова</t>
  </si>
  <si>
    <t>Начальник отдела экономического анализа,</t>
  </si>
  <si>
    <t>бюджетного планирования и статистики</t>
  </si>
  <si>
    <t>____________________ И.В. Голубева</t>
  </si>
  <si>
    <t>"____" ____________ 20___г.</t>
  </si>
  <si>
    <t>0301017</t>
  </si>
  <si>
    <t xml:space="preserve">Краевое государственное бюджетное общеобразовательное учреждение  "Тинская  школа-интернат "                                                                                                                                                                                     </t>
  </si>
  <si>
    <t xml:space="preserve">на период  2018 года  с "01" января   2018 г.  </t>
  </si>
  <si>
    <r>
      <t xml:space="preserve">от "29" декабря  2017  г. </t>
    </r>
    <r>
      <rPr>
        <sz val="10"/>
        <color indexed="12"/>
        <rFont val="Times New Roman"/>
        <family val="1"/>
        <charset val="204"/>
      </rPr>
      <t xml:space="preserve">№ </t>
    </r>
    <r>
      <rPr>
        <sz val="10"/>
        <color indexed="10"/>
        <rFont val="Times New Roman"/>
        <family val="1"/>
        <charset val="204"/>
      </rPr>
      <t xml:space="preserve"> 822/1</t>
    </r>
  </si>
  <si>
    <t>Штат в количестве  77,83 единицы</t>
  </si>
  <si>
    <t>Минимальный оклад (должностной оклад),ставка заработной платы,руб.</t>
  </si>
  <si>
    <t xml:space="preserve">Сумма окладов (должностных окладов), ставок заработной платы, руб. </t>
  </si>
  <si>
    <t>ВСЕГО  
зарплата в месяц, руб.</t>
  </si>
  <si>
    <t xml:space="preserve">за вредн.условия труда, руб. </t>
  </si>
  <si>
    <t>за работу в образовательных учреждениях для обучающихся с ограниченными возможностями здоровья
, руб.</t>
  </si>
  <si>
    <t>за работу в общеобразовательном учреждении, имеющем интернат, руб.</t>
  </si>
  <si>
    <t>выплата за работу в сельской местности, руб.</t>
  </si>
  <si>
    <t>Риностоп, капли 0,05% фл 10 мл</t>
  </si>
  <si>
    <t>Сульфацмил натрия, капли/гл 20% тюб-кап 2 мл</t>
  </si>
  <si>
    <t>Таблетки от кашля №10</t>
  </si>
  <si>
    <t>Уголь акативированный, таб 250 мг</t>
  </si>
  <si>
    <t>Цитромон П, таб №10</t>
  </si>
  <si>
    <t>9.9. Расчет (обоснование) расходов ежемесячной денежной выплаты слушателям с ограниченными возможностями здоровья из семей со среднедушевым доходом ниже величины прожиточного минимума, установленной в районах Красноярского края на душу населения, слушателям, являющимся детьми-сиротами и детьми, оставшимися без попечения родителей, лицами из числа детей-сирот и детей, оставшихся без попечения родителей, осваивающим программы профессионального обучения в краевых государственных профессиональных образовательных организациях, и ежемесячного денежного поощрения за успехи в обучении слушателям с ограниченными возможностями здоровья, слушателям, являющимся детьми-сиротами и детьми, оставшимися без попечения родителей, лицами из числа детей-сирот и детей, оставшихся без попечения родителей, осваивающим программы профессионального обучения в краевых государственных профессиональных образовательных организациях</t>
  </si>
  <si>
    <t>9.10. Расчет (обоснование) размера денежной компенсации на приобретение продуктов питания для детей-сирот и детей, оставшихся без попечения родителей, при их временной передаче в семьи граждан</t>
  </si>
  <si>
    <t xml:space="preserve">9.11. Расчет (обоснование) расходов на выплату ежемесячного обеспечения личными расходами детей-сирот и детей, оставшихся без попечения родителей 
</t>
  </si>
  <si>
    <t xml:space="preserve">9.12. Расчет (обоснование) расходов на выплату денежной компенсации взамен бесплатного горячего питания обучающимся с ограниченными возможностями здоровья в краевых государственных общеобразовательных организациях </t>
  </si>
  <si>
    <t>Ежегодное пособие на приобретение учебной литературы и письменных принадлежностей детям-сиротам и детям, оставшимся без попечения родителей, лицам из числа детей-сирот и детей, оставшихся без попечения родителей, обучающимся в краевых государственных профессиональных образовательных организациях</t>
  </si>
  <si>
    <t>Фонд стимулирующих выплат с 01.09.2017 по 31.12.2017:</t>
  </si>
  <si>
    <t>Всего ФЗП с 01.09.2017 по 30.12.2017:</t>
  </si>
  <si>
    <t>ФЗП с 01.11.2016 по 31.12.2016:</t>
  </si>
  <si>
    <t>Фонд стимулирующих выплат  с 01.11.2016 по 31.12.2016:</t>
  </si>
  <si>
    <t>Всего ФЗП с 01.11.2016 по 31.12.2016:</t>
  </si>
  <si>
    <t>за счет  повыш окладов</t>
  </si>
  <si>
    <t>% в штатном с 01.01.2017</t>
  </si>
  <si>
    <t>по зте с октября без учета повыш оклада</t>
  </si>
  <si>
    <t>Всего ФЗП с 01.10.2017 по 30.11.2017:</t>
  </si>
  <si>
    <t>дали плюсом с 01.10.2017</t>
  </si>
  <si>
    <t xml:space="preserve">1,25 ставки </t>
  </si>
  <si>
    <t>фзп с 01.10</t>
  </si>
  <si>
    <t>% из штатного с 01.01.2017</t>
  </si>
  <si>
    <t xml:space="preserve">4 % рост оклада </t>
  </si>
  <si>
    <t>Всего ФЗП с 01.09.2017 по 31.10.2017:</t>
  </si>
  <si>
    <t>Фонд стимулирующих выплат  с 01.11.2017 по 30.11.2017:</t>
  </si>
  <si>
    <t>Всего ФЗП с 01.11.2017 по 30.11.2017:</t>
  </si>
  <si>
    <t>Итого ФЗП по учреждению:</t>
  </si>
  <si>
    <t>медики дали плюсом с 01.10.2017</t>
  </si>
  <si>
    <t>Заведующий Канским филиалом  КГСБУ "ТЦБ":</t>
  </si>
  <si>
    <t xml:space="preserve">Г.И. Артамонова </t>
  </si>
  <si>
    <t xml:space="preserve">увелич в 2018 году </t>
  </si>
  <si>
    <t xml:space="preserve">Экономст </t>
  </si>
  <si>
    <t>Расчет доплат за работу в праздничные дни за 2018г.</t>
  </si>
  <si>
    <t>14дней - количество  праздничных дней в году;</t>
  </si>
  <si>
    <t>14 дн*16ч. = 224 праздничных часов в год ( для работающих в дневное время);</t>
  </si>
  <si>
    <t>224 ч. / 12 мес = 18,67 праздничных часов в месяц;</t>
  </si>
  <si>
    <t>14 дней * 24ч. = 336 праздничных часов в год;(для работающих посменно)</t>
  </si>
  <si>
    <t>336 ч. / 12 мес. = 28 праздничных часа в месяц;</t>
  </si>
  <si>
    <t>14 дней * 13ч. = 182 праздничных часов в год;(для мл.воспитателей и ночных сторожей)</t>
  </si>
  <si>
    <t>182 ч. / 12 мес. = 15,17 праздничных часа в месяц;</t>
  </si>
  <si>
    <r>
      <t>1970ч/12мес=</t>
    </r>
    <r>
      <rPr>
        <b/>
        <sz val="8"/>
        <rFont val="Arial"/>
        <family val="2"/>
        <charset val="204"/>
      </rPr>
      <t xml:space="preserve">164,17 </t>
    </r>
    <r>
      <rPr>
        <sz val="8"/>
        <rFont val="Arial"/>
        <family val="2"/>
        <charset val="204"/>
      </rPr>
      <t xml:space="preserve">часов  - количество часов на ставку в месяц при </t>
    </r>
    <r>
      <rPr>
        <b/>
        <sz val="8"/>
        <rFont val="Arial"/>
        <family val="2"/>
        <charset val="204"/>
      </rPr>
      <t>40-</t>
    </r>
    <r>
      <rPr>
        <sz val="8"/>
        <rFont val="Arial"/>
        <family val="2"/>
        <charset val="204"/>
      </rPr>
      <t>часовой рабочей неделе;</t>
    </r>
  </si>
  <si>
    <t>сторож,повар,мл.воспит.</t>
  </si>
  <si>
    <r>
      <t>1920,6ч/12мес=</t>
    </r>
    <r>
      <rPr>
        <b/>
        <sz val="8"/>
        <rFont val="Arial"/>
        <family val="2"/>
        <charset val="204"/>
      </rPr>
      <t>160,05</t>
    </r>
    <r>
      <rPr>
        <sz val="8"/>
        <rFont val="Arial"/>
        <family val="2"/>
        <charset val="204"/>
      </rPr>
      <t xml:space="preserve"> часов  - количество часов на ставку в месяц при </t>
    </r>
    <r>
      <rPr>
        <b/>
        <sz val="8"/>
        <rFont val="Arial"/>
        <family val="2"/>
        <charset val="204"/>
      </rPr>
      <t>39</t>
    </r>
    <r>
      <rPr>
        <sz val="8"/>
        <rFont val="Arial"/>
        <family val="2"/>
        <charset val="204"/>
      </rPr>
      <t>-часовой рабочей неделе;</t>
    </r>
  </si>
  <si>
    <t>медики</t>
  </si>
  <si>
    <r>
      <t>1772,4ч/12мес=</t>
    </r>
    <r>
      <rPr>
        <b/>
        <sz val="8"/>
        <rFont val="Arial"/>
        <family val="2"/>
        <charset val="204"/>
      </rPr>
      <t>147,70</t>
    </r>
    <r>
      <rPr>
        <sz val="8"/>
        <rFont val="Arial"/>
        <family val="2"/>
        <charset val="204"/>
      </rPr>
      <t xml:space="preserve"> часа - количество часов на ставку в месяц при </t>
    </r>
    <r>
      <rPr>
        <b/>
        <sz val="8"/>
        <rFont val="Arial"/>
        <family val="2"/>
        <charset val="204"/>
      </rPr>
      <t>36</t>
    </r>
    <r>
      <rPr>
        <sz val="8"/>
        <rFont val="Arial"/>
        <family val="2"/>
        <charset val="204"/>
      </rPr>
      <t>-часовой рабочей неделе;</t>
    </r>
  </si>
  <si>
    <t>(младший воспитатель, медсестра) - сельская местность или Север</t>
  </si>
  <si>
    <r>
      <t>1476ч/12мес=</t>
    </r>
    <r>
      <rPr>
        <b/>
        <sz val="8"/>
        <rFont val="Arial"/>
        <family val="2"/>
        <charset val="204"/>
      </rPr>
      <t>123,00</t>
    </r>
    <r>
      <rPr>
        <sz val="8"/>
        <rFont val="Arial"/>
        <family val="2"/>
        <charset val="204"/>
      </rPr>
      <t xml:space="preserve"> часа - количество часов на ставку в месяц при </t>
    </r>
    <r>
      <rPr>
        <b/>
        <sz val="8"/>
        <rFont val="Arial"/>
        <family val="2"/>
        <charset val="204"/>
      </rPr>
      <t>30</t>
    </r>
    <r>
      <rPr>
        <sz val="8"/>
        <rFont val="Arial"/>
        <family val="2"/>
        <charset val="204"/>
      </rPr>
      <t>-часовой рабочей неделе;</t>
    </r>
  </si>
  <si>
    <t>воспитатели</t>
  </si>
  <si>
    <r>
      <t>1229ч/12мес=</t>
    </r>
    <r>
      <rPr>
        <b/>
        <sz val="8"/>
        <rFont val="Arial"/>
        <family val="2"/>
        <charset val="204"/>
      </rPr>
      <t>102,42</t>
    </r>
    <r>
      <rPr>
        <sz val="8"/>
        <rFont val="Arial"/>
        <family val="2"/>
        <charset val="204"/>
      </rPr>
      <t xml:space="preserve"> часа - количество часов на ставку в месяц при</t>
    </r>
    <r>
      <rPr>
        <b/>
        <sz val="8"/>
        <rFont val="Arial"/>
        <family val="2"/>
        <charset val="204"/>
      </rPr>
      <t xml:space="preserve"> 25</t>
    </r>
    <r>
      <rPr>
        <sz val="8"/>
        <rFont val="Arial"/>
        <family val="2"/>
        <charset val="204"/>
      </rPr>
      <t>-часовой рабочей неделе.</t>
    </r>
  </si>
  <si>
    <t>воспит коррекц групп</t>
  </si>
  <si>
    <t>Помошники воспитателя</t>
  </si>
  <si>
    <t>Ставка</t>
  </si>
  <si>
    <t xml:space="preserve"> /</t>
  </si>
  <si>
    <t xml:space="preserve"> =</t>
  </si>
  <si>
    <t>за 1 ч. работы в дневн. Время</t>
  </si>
  <si>
    <t>=</t>
  </si>
  <si>
    <t xml:space="preserve"> доплата за работу в дневное время в празд. Дни, в месяц</t>
  </si>
  <si>
    <t>Младшие воспитатели</t>
  </si>
  <si>
    <t>/</t>
  </si>
  <si>
    <t>2 человека(2 этажа)</t>
  </si>
  <si>
    <t>ИТОГО ночные+праздничные:</t>
  </si>
  <si>
    <t>Воспитатели</t>
  </si>
  <si>
    <t>Мед.сестры</t>
  </si>
  <si>
    <t xml:space="preserve">  =</t>
  </si>
  <si>
    <t xml:space="preserve">руб - </t>
  </si>
  <si>
    <t>2 групп</t>
  </si>
  <si>
    <t xml:space="preserve">Сторож </t>
  </si>
  <si>
    <t>2 человека</t>
  </si>
  <si>
    <t>Кухонные рабочие и мойщики посуды</t>
  </si>
  <si>
    <t xml:space="preserve"> доплата за работу в дневное время в празд. дни, в месяц</t>
  </si>
  <si>
    <r>
      <t>2 человека</t>
    </r>
    <r>
      <rPr>
        <sz val="11"/>
        <color theme="1"/>
        <rFont val="Calibri"/>
        <family val="2"/>
        <charset val="204"/>
        <scheme val="minor"/>
      </rPr>
      <t>(мойщик+кухонный)</t>
    </r>
  </si>
  <si>
    <t xml:space="preserve">Исполнитель: С.Н. Гуща </t>
  </si>
  <si>
    <t>РАСЧЕТ ДОПЛАТЫ ЗА РАБОТУ В НОЧНОЕ ВРЕМЯ  на 2018г.</t>
  </si>
  <si>
    <t xml:space="preserve">351 ночи * 8 часов  </t>
  </si>
  <si>
    <t xml:space="preserve"> = 2808 часов</t>
  </si>
  <si>
    <t>2808/ 12 месяцев = 234,00 ночных часов в месяц</t>
  </si>
  <si>
    <t>14 ночей в праздничные дни * 8 часов =112 праздничных ночных часов в год;</t>
  </si>
  <si>
    <t>112 ч / 12 мес. = 9,33 праздничных ночн. часов в месяц</t>
  </si>
  <si>
    <t>2,3 ед. -штатная численность младших воспитателей на спальный корпус</t>
  </si>
  <si>
    <t xml:space="preserve"> за 1 час работы в днев.время</t>
  </si>
  <si>
    <t xml:space="preserve"> *</t>
  </si>
  <si>
    <t>за 1 ч. работы в ночное врем.</t>
  </si>
  <si>
    <t>ставки</t>
  </si>
  <si>
    <t>допл. За работу в ночн.время в месяц</t>
  </si>
  <si>
    <t>руб. -</t>
  </si>
  <si>
    <t>доплата за 1 ч. работы в ночное время праздничного дня</t>
  </si>
  <si>
    <t>доплата за работу</t>
  </si>
  <si>
    <t>в ночное время в праздничный день в месяц</t>
  </si>
  <si>
    <t xml:space="preserve"> +</t>
  </si>
  <si>
    <t xml:space="preserve">доплата за ночное </t>
  </si>
  <si>
    <t>время в месяц</t>
  </si>
  <si>
    <t>Мл. воспитатели</t>
  </si>
  <si>
    <r>
      <t>доплата за ночное</t>
    </r>
    <r>
      <rPr>
        <b/>
        <sz val="10"/>
        <rFont val="Arial"/>
        <family val="2"/>
        <charset val="204"/>
      </rPr>
      <t xml:space="preserve"> 2 чел. </t>
    </r>
    <r>
      <rPr>
        <sz val="11"/>
        <color theme="1"/>
        <rFont val="Calibri"/>
        <family val="2"/>
        <charset val="204"/>
        <scheme val="minor"/>
      </rPr>
      <t>в смену</t>
    </r>
  </si>
  <si>
    <t>Помошник воспитателя коррекционных групп</t>
  </si>
  <si>
    <t xml:space="preserve">  --</t>
  </si>
  <si>
    <t xml:space="preserve"> -</t>
  </si>
  <si>
    <t>допл. За работу вночн. Время в месяц</t>
  </si>
  <si>
    <t>(личная подпись)</t>
  </si>
  <si>
    <t xml:space="preserve"> Заведующий  Канским филиала КГСБУ "ТЦБ" </t>
  </si>
  <si>
    <t>пов 4%</t>
  </si>
  <si>
    <t xml:space="preserve">9 мес план </t>
  </si>
  <si>
    <t xml:space="preserve">3 мес </t>
  </si>
  <si>
    <t>октябрь</t>
  </si>
  <si>
    <t>Всего ФЗП с 01.01.2018 по 31.12.2018</t>
  </si>
  <si>
    <t xml:space="preserve">по зте с октября </t>
  </si>
  <si>
    <t>повыш 4%</t>
  </si>
  <si>
    <t xml:space="preserve">пов 30% и пов оклада </t>
  </si>
  <si>
    <t>на   2018 год  с "01" января   2018 г.</t>
  </si>
  <si>
    <t>наименование учреждения</t>
  </si>
  <si>
    <t xml:space="preserve">Краевое государственное бюджетное общеобразовательное учреждение  "Тинская  школа-интернат "          </t>
  </si>
  <si>
    <t xml:space="preserve">Расчет фонда оплаты труда  </t>
  </si>
  <si>
    <r>
      <t xml:space="preserve">Приложение
к штатному расписанию, утвержденному приказом учреждения
от </t>
    </r>
    <r>
      <rPr>
        <u/>
        <sz val="11"/>
        <rFont val="Times New Roman"/>
        <family val="1"/>
        <charset val="204"/>
      </rPr>
      <t>29.12.2017</t>
    </r>
    <r>
      <rPr>
        <sz val="11"/>
        <rFont val="Times New Roman"/>
        <family val="1"/>
        <charset val="204"/>
      </rPr>
      <t xml:space="preserve"> № </t>
    </r>
    <r>
      <rPr>
        <u/>
        <sz val="11"/>
        <color indexed="10"/>
        <rFont val="Times New Roman"/>
        <family val="1"/>
        <charset val="204"/>
      </rPr>
      <t>822/1</t>
    </r>
  </si>
  <si>
    <t>на 2018 год  на "01" января  2018 г.</t>
  </si>
  <si>
    <t>Ежемесячное пособие на ребенка лицам, состоящим в трудовых отношениях</t>
  </si>
  <si>
    <t>сумма пособия за первые три дня временной нетрудоспособности за счет средств работодателя</t>
  </si>
  <si>
    <t xml:space="preserve">выходное пособие  по сокращению штатов </t>
  </si>
  <si>
    <t>Обязательное социальное страхование на случай временной нетрудоспособности и в связи с материнством по ставке 2,9 %</t>
  </si>
  <si>
    <t>Обязательное социальное страхование от несчастных случаев на производстве и профессиональных заболеваний по ставке 0,2 %</t>
  </si>
  <si>
    <t>Страховые взносы в Федеральный фонд обязательного медицинского страхования, всего по ставке  5,1%</t>
  </si>
  <si>
    <t>Подключение к Глобальной сети Интернет</t>
  </si>
  <si>
    <t xml:space="preserve">шт </t>
  </si>
  <si>
    <t xml:space="preserve">Оплата услуг местной и междугородней телефонной связи </t>
  </si>
  <si>
    <t>3.1</t>
  </si>
  <si>
    <t>3.2</t>
  </si>
  <si>
    <t xml:space="preserve">абонентская плата за осн.телефоны: </t>
  </si>
  <si>
    <t>расходы на междугородние телефонные соединения:</t>
  </si>
  <si>
    <t>3.3</t>
  </si>
  <si>
    <t>мин</t>
  </si>
  <si>
    <t xml:space="preserve">предоставление канала ,образованного аппарат. систем ПД : </t>
  </si>
  <si>
    <t>Приобретение почтовых конвертов :</t>
  </si>
  <si>
    <t>Уточненный план  2017  года</t>
  </si>
  <si>
    <t xml:space="preserve">Факт 2017 года </t>
  </si>
  <si>
    <t>План 2018 года</t>
  </si>
  <si>
    <r>
      <rPr>
        <sz val="12"/>
        <rFont val="Times New Roman"/>
        <family val="1"/>
        <charset val="204"/>
      </rPr>
      <t>Электроэнергия по нерегулируемы ценам</t>
    </r>
    <r>
      <rPr>
        <sz val="12"/>
        <color indexed="8"/>
        <rFont val="Times New Roman"/>
        <family val="1"/>
        <charset val="204"/>
      </rPr>
      <t xml:space="preserve"> </t>
    </r>
    <r>
      <rPr>
        <sz val="12"/>
        <color indexed="9"/>
        <rFont val="Times New Roman"/>
        <family val="1"/>
        <charset val="204"/>
      </rPr>
      <t xml:space="preserve"> (по по  контракт № 83 от 27.06.2017 ООО "Ритм"</t>
    </r>
  </si>
  <si>
    <t>Мвтч</t>
  </si>
  <si>
    <r>
      <t>Теплоэнергия</t>
    </r>
    <r>
      <rPr>
        <sz val="12"/>
        <color indexed="9"/>
        <rFont val="Times New Roman"/>
        <family val="1"/>
        <charset val="204"/>
      </rPr>
      <t xml:space="preserve"> ( контракт № 83 от 27.06.2017 ООО "Ритм"</t>
    </r>
  </si>
  <si>
    <t>Гкал</t>
  </si>
  <si>
    <r>
      <t xml:space="preserve">Водоснабжение  </t>
    </r>
    <r>
      <rPr>
        <sz val="12"/>
        <color indexed="9"/>
        <rFont val="Times New Roman"/>
        <family val="1"/>
        <charset val="204"/>
      </rPr>
      <t>( контракт № 11-1 от 12.05.2017 ООО "Ритм")</t>
    </r>
  </si>
  <si>
    <t>куб.м.</t>
  </si>
  <si>
    <r>
      <t xml:space="preserve">Стоки </t>
    </r>
    <r>
      <rPr>
        <sz val="12"/>
        <color indexed="9"/>
        <rFont val="Times New Roman"/>
        <family val="1"/>
        <charset val="204"/>
      </rPr>
      <t xml:space="preserve"> ( контракт № 48 от 01.01.2017 ООО "Ритм")</t>
    </r>
  </si>
  <si>
    <t xml:space="preserve">С.Н.Гуща </t>
  </si>
  <si>
    <t xml:space="preserve">В.П. Сурова  </t>
  </si>
  <si>
    <t>на 2018 год</t>
  </si>
  <si>
    <r>
      <t xml:space="preserve">Код вида расходов </t>
    </r>
    <r>
      <rPr>
        <b/>
        <sz val="12"/>
        <rFont val="Times New Roman"/>
        <family val="1"/>
        <charset val="204"/>
      </rPr>
      <t>853 Уплата иных платежей</t>
    </r>
  </si>
  <si>
    <t>Расходы  на приобретение материальных запасов  Таблица № 3.10</t>
  </si>
  <si>
    <r>
      <t xml:space="preserve">УАЗ 3962 </t>
    </r>
    <r>
      <rPr>
        <sz val="12"/>
        <color indexed="9"/>
        <rFont val="Times New Roman"/>
        <family val="1"/>
        <charset val="204"/>
      </rPr>
      <t xml:space="preserve"> , </t>
    </r>
    <r>
      <rPr>
        <sz val="8"/>
        <color indexed="9"/>
        <rFont val="Times New Roman"/>
        <family val="1"/>
        <charset val="204"/>
      </rPr>
      <t>двигатель 417800-50109366</t>
    </r>
  </si>
  <si>
    <r>
      <t xml:space="preserve">ПАЗ 32053- 70 </t>
    </r>
    <r>
      <rPr>
        <sz val="12"/>
        <color indexed="9"/>
        <rFont val="Times New Roman"/>
        <family val="1"/>
        <charset val="204"/>
      </rPr>
      <t>,</t>
    </r>
    <r>
      <rPr>
        <sz val="8"/>
        <color indexed="9"/>
        <rFont val="Times New Roman"/>
        <family val="1"/>
        <charset val="204"/>
      </rPr>
      <t xml:space="preserve"> двигатель 523400 81012414</t>
    </r>
  </si>
  <si>
    <r>
      <t>ГАЗ -3502</t>
    </r>
    <r>
      <rPr>
        <sz val="12"/>
        <color indexed="9"/>
        <rFont val="Times New Roman"/>
        <family val="1"/>
        <charset val="204"/>
      </rPr>
      <t xml:space="preserve"> , </t>
    </r>
    <r>
      <rPr>
        <sz val="8"/>
        <color indexed="9"/>
        <rFont val="Times New Roman"/>
        <family val="1"/>
        <charset val="204"/>
      </rPr>
      <t>двигатель  511-84362</t>
    </r>
  </si>
  <si>
    <t>бензин (АИ -92)</t>
  </si>
  <si>
    <t>УАЗ-3962, всего</t>
  </si>
  <si>
    <t>ПАЗ 32053- 70, всего</t>
  </si>
  <si>
    <t>ГАЗ -3502, всего</t>
  </si>
  <si>
    <r>
      <rPr>
        <sz val="12"/>
        <color indexed="8"/>
        <rFont val="Times New Roman"/>
        <family val="1"/>
        <charset val="204"/>
      </rPr>
      <t>ГАЗ -3221</t>
    </r>
    <r>
      <rPr>
        <sz val="12"/>
        <color indexed="9"/>
        <rFont val="Times New Roman"/>
        <family val="1"/>
        <charset val="204"/>
      </rPr>
      <t xml:space="preserve">, </t>
    </r>
    <r>
      <rPr>
        <sz val="8"/>
        <color indexed="9"/>
        <rFont val="Times New Roman"/>
        <family val="1"/>
        <charset val="204"/>
      </rPr>
      <t xml:space="preserve">двигатель *40630А*63083158* </t>
    </r>
  </si>
  <si>
    <t>ГАЗ -3221, всего</t>
  </si>
  <si>
    <r>
      <t xml:space="preserve">12. Расчёт среднегодового контингента учащихся краевых общеобразовательных организаций на </t>
    </r>
    <r>
      <rPr>
        <b/>
        <u/>
        <sz val="11"/>
        <rFont val="Times New Roman"/>
        <family val="1"/>
        <charset val="204"/>
      </rPr>
      <t>2018</t>
    </r>
    <r>
      <rPr>
        <b/>
        <sz val="11"/>
        <rFont val="Times New Roman"/>
        <family val="1"/>
        <charset val="204"/>
      </rPr>
      <t xml:space="preserve"> год</t>
    </r>
  </si>
  <si>
    <r>
      <t>на 01.01.20</t>
    </r>
    <r>
      <rPr>
        <u/>
        <sz val="12"/>
        <rFont val="Times New Roman"/>
        <family val="1"/>
        <charset val="204"/>
      </rPr>
      <t>18</t>
    </r>
  </si>
  <si>
    <r>
      <t>на 01.09.20</t>
    </r>
    <r>
      <rPr>
        <u/>
        <sz val="12"/>
        <rFont val="Times New Roman"/>
        <family val="1"/>
        <charset val="204"/>
      </rPr>
      <t>18</t>
    </r>
  </si>
  <si>
    <r>
      <t xml:space="preserve">ПОДСТАТЬЯ </t>
    </r>
    <r>
      <rPr>
        <sz val="14"/>
        <rFont val="Times New Roman"/>
        <family val="1"/>
      </rPr>
      <t>340</t>
    </r>
  </si>
  <si>
    <t xml:space="preserve">Расчет стоимости питания на 1 день на 2018 года для обучающихся, воспитанников 
 в соответствии с натуральными нормами согласно закону Красноярского края от 10.03.2016 №10-4261 "Об установлении норм обеспечения обучающихся с ограниченными возможностями здоровья питанием, одеждой, обувью, мягким и жестким инвентарем"
</t>
  </si>
  <si>
    <t>с торговой наценкой</t>
  </si>
  <si>
    <t>Норма на одного обучающегося, воспитанника 1-3 года</t>
  </si>
  <si>
    <t>Норма на одного обучающегося, воспитанника 3-7 лет</t>
  </si>
  <si>
    <t>Норма на одного обучающегося, воспитанника 7-10 лет</t>
  </si>
  <si>
    <t>Норма на одного обучающегося, воспитанника 11-18 лет</t>
  </si>
  <si>
    <t>Средняя цена за 1 кг c учетом дефлятора 1,039, руб.</t>
  </si>
  <si>
    <t>Сумма (для обучающегося, воспитанника 1-3 года) на 2018 год, руб.</t>
  </si>
  <si>
    <t>Сумма (для обучающегося, воспитанника  3-7 лет) на 2018 год, руб.</t>
  </si>
  <si>
    <t>Сумма (для обучающегося, воспитанника  7-10 лет) на 2018 год, руб.</t>
  </si>
  <si>
    <t>Сумма (для обучающегося, воспитанника  11-18 лет) на 2018 год, руб.</t>
  </si>
  <si>
    <t>Сумма (для обучающегося, воспитанника 7-10 лет) на 2018 год, руб.</t>
  </si>
  <si>
    <t>Хлеб ржаной</t>
  </si>
  <si>
    <t>гр.</t>
  </si>
  <si>
    <t>Хлеб пшеничный</t>
  </si>
  <si>
    <t>Мука пшеничная</t>
  </si>
  <si>
    <t>Мука картофельная</t>
  </si>
  <si>
    <t>Крупа (злаки), бобовые</t>
  </si>
  <si>
    <t>Макаронные изделия</t>
  </si>
  <si>
    <t xml:space="preserve">Картофель </t>
  </si>
  <si>
    <t>Овощи свежие, зелень</t>
  </si>
  <si>
    <r>
      <t>Фрукты свежие,</t>
    </r>
    <r>
      <rPr>
        <b/>
        <sz val="12"/>
        <rFont val="Times New Roman"/>
        <family val="1"/>
        <charset val="204"/>
      </rPr>
      <t xml:space="preserve"> </t>
    </r>
    <r>
      <rPr>
        <sz val="12"/>
        <rFont val="Times New Roman"/>
        <family val="1"/>
        <charset val="204"/>
      </rPr>
      <t>соки фруктовые (овощные), напитки витаминизированные</t>
    </r>
  </si>
  <si>
    <t>Томат-пюре</t>
  </si>
  <si>
    <t>Фрукты сухие</t>
  </si>
  <si>
    <t>Сахар, Кондитерские изделия</t>
  </si>
  <si>
    <t>Сухари пшеничные</t>
  </si>
  <si>
    <t>Кофейный напиток</t>
  </si>
  <si>
    <t>Какао</t>
  </si>
  <si>
    <t>Чай</t>
  </si>
  <si>
    <t>Мясо бескостное/на кости</t>
  </si>
  <si>
    <t>Птица</t>
  </si>
  <si>
    <t>Мясо, птица</t>
  </si>
  <si>
    <t>Субпродукты</t>
  </si>
  <si>
    <t>Рыба филе</t>
  </si>
  <si>
    <t>Колбасные изделия</t>
  </si>
  <si>
    <t>Молоко, кисломолочные продукты</t>
  </si>
  <si>
    <t>Творог, творожные изделия</t>
  </si>
  <si>
    <t>Сметана</t>
  </si>
  <si>
    <t xml:space="preserve">Сыр </t>
  </si>
  <si>
    <t>Масло сливочное</t>
  </si>
  <si>
    <t>Маргарин</t>
  </si>
  <si>
    <t>Масло растительное</t>
  </si>
  <si>
    <t>Яйцо куриное</t>
  </si>
  <si>
    <t>Специи</t>
  </si>
  <si>
    <t>Соль пищевая повареная</t>
  </si>
  <si>
    <t>Дрожжи хлебопекарные</t>
  </si>
  <si>
    <t>Желатин</t>
  </si>
  <si>
    <t>Приведение розничных цен к оптовым (-10%)</t>
  </si>
  <si>
    <t>ИТОГО при двухразовом питании (65%)</t>
  </si>
  <si>
    <t>ИТОГО на 2018 год:</t>
  </si>
  <si>
    <t>интернированные</t>
  </si>
  <si>
    <t>воскресные, каникулярные, праздничные</t>
  </si>
  <si>
    <t>ИТОГО на 2018г при двухразовом питании</t>
  </si>
  <si>
    <t>приходящие</t>
  </si>
  <si>
    <t xml:space="preserve">для обучающихся, воспитанников с ограниченными возможностями здоровья ( приходящие  ) 7-10 лет </t>
  </si>
  <si>
    <t>Бахилы №5</t>
  </si>
  <si>
    <t>Бинт стерильный, 7м*14см</t>
  </si>
  <si>
    <t>Бинт н/стер, 7м*14см</t>
  </si>
  <si>
    <t>Бинт стерильный, 5м*10см</t>
  </si>
  <si>
    <t>Бинт эластичный, 1м*10см</t>
  </si>
  <si>
    <t>Вата хирургическая 100 гр н/стер.</t>
  </si>
  <si>
    <t>Вата хирургическая 100 гр стерильная</t>
  </si>
  <si>
    <t>Вата хирургическая 250 гр</t>
  </si>
  <si>
    <t>Жгут кровоостанавливающий</t>
  </si>
  <si>
    <t>Марля 5м*90см</t>
  </si>
  <si>
    <t>Маска медицинская инд/уп</t>
  </si>
  <si>
    <t>Пакет д/утилиз отходов 50*60 желтые</t>
  </si>
  <si>
    <t>Пакет д/утилиз отходов 50*60 белые</t>
  </si>
  <si>
    <t>Перчатки смотровые винил. н/стер, неопудр,</t>
  </si>
  <si>
    <t>Перчатки смотровые латекс текстур неопудр,</t>
  </si>
  <si>
    <t>Перчатки хирургические стер. неопудр.</t>
  </si>
  <si>
    <t>Пипетка глазная №1 в футляре</t>
  </si>
  <si>
    <t>Пластырь бактерицидный 2,5*7,2 см т/осн</t>
  </si>
  <si>
    <t>Пластырь бактерицидный 6*10 см т/осн</t>
  </si>
  <si>
    <t>Пластырь кактушка 2*500 см</t>
  </si>
  <si>
    <t>Пластырь кактушка 5*500 см</t>
  </si>
  <si>
    <t>Салфетка спиртовая 4см*4см № 10</t>
  </si>
  <si>
    <t>Шпатель стирильный №100 деревянный</t>
  </si>
  <si>
    <t>Шприц 10 мл №1 с иглой (3-х компл)</t>
  </si>
  <si>
    <t>Шприц 20 мл №1 с иглой (3-х компл)</t>
  </si>
  <si>
    <t>Шприц 2 мл №1 с иглой (3-х компл)</t>
  </si>
  <si>
    <t>Шприц 5 мл №1 с иглой (3-х компл)</t>
  </si>
  <si>
    <t>КАНЦЕЛЯРСКИЕ ТОВАРЫ</t>
  </si>
  <si>
    <t xml:space="preserve">Набор стикеров-разделителей 5*25шт 44*12мм TZ </t>
  </si>
  <si>
    <t>упак</t>
  </si>
  <si>
    <t xml:space="preserve">Папка-регистратор 50мм PVC черная без метал. окантов </t>
  </si>
  <si>
    <t>упак.</t>
  </si>
  <si>
    <t xml:space="preserve">Линейка 16 см прозрачная голубая Стамм Cristal лн 1000 </t>
  </si>
  <si>
    <t xml:space="preserve">Точилка металл одинарная TZ40-1 </t>
  </si>
  <si>
    <t>Пластилин 6 цв 'Мини' 19С1271-08 Луч 1*66</t>
  </si>
  <si>
    <t xml:space="preserve">Степлер 24/6 на 15л. металлический </t>
  </si>
  <si>
    <t xml:space="preserve">Акварель 10 цв, б/кисти </t>
  </si>
  <si>
    <t>Мел цветной 6шт</t>
  </si>
  <si>
    <t xml:space="preserve">Карандаш пласт. с ласт </t>
  </si>
  <si>
    <t xml:space="preserve">Линейка 25см пластик </t>
  </si>
  <si>
    <t>Набор кистей 3 шт из нейлона № 2,3,5</t>
  </si>
  <si>
    <t>Фломастеры 18 цв</t>
  </si>
  <si>
    <t xml:space="preserve">Мел белый 100 шт. </t>
  </si>
  <si>
    <t xml:space="preserve">Тетрадь общая в клетку А4, 48л. </t>
  </si>
  <si>
    <t xml:space="preserve">Тетрадь школьная в клетку 12 л </t>
  </si>
  <si>
    <t xml:space="preserve">Тетрадь школьная в линейку 12 л </t>
  </si>
  <si>
    <t xml:space="preserve">Ручка шар синяя </t>
  </si>
  <si>
    <t>Папка регистратор 50 мм с арочным механизмом А4</t>
  </si>
  <si>
    <t xml:space="preserve">Папка-регистратор 70 мм А4 </t>
  </si>
  <si>
    <t xml:space="preserve">Папка-Скоросшиватель А4 </t>
  </si>
  <si>
    <t xml:space="preserve">Папка портфель 12 отд пластик А4 с ручкой, на замке </t>
  </si>
  <si>
    <t xml:space="preserve">Папка -конверт на кнопке A4 </t>
  </si>
  <si>
    <t xml:space="preserve">Файл А4 </t>
  </si>
  <si>
    <t xml:space="preserve">Степлер №24/6 </t>
  </si>
  <si>
    <t>Скрепки 22мм/100шт</t>
  </si>
  <si>
    <t>Скотч 50*40</t>
  </si>
  <si>
    <t xml:space="preserve">Ножницы 15см </t>
  </si>
  <si>
    <t xml:space="preserve">Кнопки-гвоздики 50 шт </t>
  </si>
  <si>
    <t>Клей-карандаш 36г</t>
  </si>
  <si>
    <t xml:space="preserve">Зажим 19мм </t>
  </si>
  <si>
    <t xml:space="preserve">Зажим 15мм </t>
  </si>
  <si>
    <t xml:space="preserve">Антистеплер </t>
  </si>
  <si>
    <t xml:space="preserve">Ватман А2 </t>
  </si>
  <si>
    <t xml:space="preserve">Ватман А3 </t>
  </si>
  <si>
    <t xml:space="preserve">Бумага Hopax 38*51 100л. </t>
  </si>
  <si>
    <t xml:space="preserve">Бумага А4 500л </t>
  </si>
  <si>
    <t xml:space="preserve">Блокнот д/эск. и зарисовок 24л </t>
  </si>
  <si>
    <t>АВТОЗАПЧАСТИ для автомобилей ГАЗ, УАЗ, ПАЗ</t>
  </si>
  <si>
    <t>К-т прокладок двигателя ЗМЗ-4061</t>
  </si>
  <si>
    <t>Рем.к-т привода ГРМ дв.ЗМЗ-406</t>
  </si>
  <si>
    <t>Карбюратор ЗМЗ-406</t>
  </si>
  <si>
    <t>Пневмоусилитель с ГТЦилиндром в сборе ПАЗ-3205</t>
  </si>
  <si>
    <t>Шланг тормозной задний ПАЗ (510мм)</t>
  </si>
  <si>
    <t>Шланг тормозной задний ПАЗ (640мм)</t>
  </si>
  <si>
    <t>Компрессор ПАЗ ( с водяным отопл.)</t>
  </si>
  <si>
    <t>Осушитель воздуха тормозной системы ПАЗ, ГАЗ</t>
  </si>
  <si>
    <t>Наконечник рулевой тяги ПАЗ (лев.кр.рез.)</t>
  </si>
  <si>
    <t>Наконечник рулевой тяги ПАЗ (пр.мел.рез.)</t>
  </si>
  <si>
    <t>Аммортизатор П-3205</t>
  </si>
  <si>
    <t>Шкворень поворотного кулака ПАЗ</t>
  </si>
  <si>
    <t>Втулка шкворня ПАЗ</t>
  </si>
  <si>
    <t>Штифт шкворня ПАЗ</t>
  </si>
  <si>
    <t>Подшипник опорный шкворня ПАЗ</t>
  </si>
  <si>
    <t>Шайба регулировочная поворотного кулака</t>
  </si>
  <si>
    <t>Передача карданная ПАЗ</t>
  </si>
  <si>
    <t>Свеча зажигания</t>
  </si>
  <si>
    <t>Насос топливный Г-53</t>
  </si>
  <si>
    <t>Лампа на R43 А12-85/80 ФАР</t>
  </si>
  <si>
    <t>Лампа А 12-5</t>
  </si>
  <si>
    <t>Подшипник ступицы переднего колеса ПАЗ</t>
  </si>
  <si>
    <t>Подшипник ступицы переднего колеса ПАЗ (внутренний)</t>
  </si>
  <si>
    <t>Сальник передней ступицы ПАЗ</t>
  </si>
  <si>
    <t>Средство для мытья посуды,1000 мл</t>
  </si>
  <si>
    <t>Отбеливатель БЕЛИЗНА жидкость, 1л</t>
  </si>
  <si>
    <t>Отбеливатель "Саянская" жидкость, 750 мл</t>
  </si>
  <si>
    <t>Средство для сантехники  гель, 750 мл</t>
  </si>
  <si>
    <t>Бумага туалетная, без втулки</t>
  </si>
  <si>
    <t>Салфетки бумажные 24x24 см  (100 штук в упаковке)</t>
  </si>
  <si>
    <t>Салфетка хозяйственная универсальная 30х30см, 1шт/уп</t>
  </si>
  <si>
    <t>Мыло туалетное, 100 гр</t>
  </si>
  <si>
    <t>Сода  кальцинированная, 500гр</t>
  </si>
  <si>
    <t>Стиральный  порошок универсал (автомат), 9000гр</t>
  </si>
  <si>
    <t>Чистящее средство универсальное Пемолюкс порошок, 480 гр</t>
  </si>
  <si>
    <t>Полотенца бум. 2х-сл 2шт</t>
  </si>
  <si>
    <t>Средство от накипи "Антинакипин", 1000гр</t>
  </si>
  <si>
    <t>Ведро пластмассовое вместимостью 12 л, (для пищевых  продуктов) из  первичного пластика, ГОСТ Р 50962-96</t>
  </si>
  <si>
    <t>Грабли веерные проволочные с черенком ТУ 14-579-31-94</t>
  </si>
  <si>
    <t>Грабли витые с черенком ГОСТ 19597-94</t>
  </si>
  <si>
    <t>Перчатки общехозяйственные резиновые ГОСТ 20010-93</t>
  </si>
  <si>
    <t>м2</t>
  </si>
  <si>
    <t xml:space="preserve">Ведро эмалированное вместимостью 12 л с крышкой,  ГОСТ 24788-2001 </t>
  </si>
  <si>
    <t>Веник сорго.ГОСТ 56-31-91</t>
  </si>
  <si>
    <t xml:space="preserve">Лопата совковая с черенком, </t>
  </si>
  <si>
    <t>Лопата штыковая с черенком</t>
  </si>
  <si>
    <t>Мешок для мусора 30 л (50 шт) ГОСТ Р 50962-96</t>
  </si>
  <si>
    <t>Мешок для мусора  90 л (20 шт) ГОСТ Р 50962-96</t>
  </si>
  <si>
    <t>Перчатки общехозяйственные х/б прорезиненные ГОСТ Р 12.4.246-2008</t>
  </si>
  <si>
    <t xml:space="preserve">Перчатки общехозяйственные х/б с ПВХ ГОСТ </t>
  </si>
  <si>
    <t xml:space="preserve">Полотно холстопрошивное обтирочное х/б ширина 150см. </t>
  </si>
  <si>
    <t>ХОЗЯЙСТВЕННЫЕ ТОВАРЫ</t>
  </si>
  <si>
    <t>Лампа светодиодная LED 7вт Е27 теплая (94385 NLL-A55)</t>
  </si>
  <si>
    <t>Светильник светодиодный, свет холодный, 32 Вт, 590x590x42 мм</t>
  </si>
  <si>
    <t>Видеокарта для решения офисных задач повышенной производительности</t>
  </si>
  <si>
    <t>Привод DVD - RW</t>
  </si>
  <si>
    <t>Материнская плата Socket FM2</t>
  </si>
  <si>
    <t>Процессор Intel Core i3-530 2.9GHz Socket 1156</t>
  </si>
  <si>
    <t>Клавиатура USB</t>
  </si>
  <si>
    <t>Манипулятор (мышь) беспроводная</t>
  </si>
  <si>
    <t>СРЕДСТВА АВТОМАТИЗАЦИИ</t>
  </si>
  <si>
    <t>Картридж для Samsung ML-16</t>
  </si>
  <si>
    <t>Картридж для KYOCERA FS-1025</t>
  </si>
  <si>
    <t>Картридж для BROTHER</t>
  </si>
  <si>
    <t>Тонер для Samsung ML-167x</t>
  </si>
  <si>
    <t>Тонер для KYOCERA FS-1025</t>
  </si>
  <si>
    <t>Тонер для BROTHER</t>
  </si>
  <si>
    <t>Бумага наждачная № 6 на тканевой основе</t>
  </si>
  <si>
    <t>Сверло по дереву 9 мм</t>
  </si>
  <si>
    <t>Круг заточный  230*6*22 мм</t>
  </si>
  <si>
    <t xml:space="preserve">Кисть флейцевая 60 мм </t>
  </si>
  <si>
    <t>Кисть макловица 30х100 мм</t>
  </si>
  <si>
    <t>Леска тримерная,диаметр лески от 1,2 мм до 4мм</t>
  </si>
  <si>
    <t>кв.м.</t>
  </si>
  <si>
    <t xml:space="preserve">Кисть овальная 50 мм </t>
  </si>
  <si>
    <t>ИНСТРУМЕНТЫ</t>
  </si>
  <si>
    <t>№ 541н от 01.10.2008г, п.84</t>
  </si>
  <si>
    <t>Рабочий по комплексн.обслуживанию и ремонту зданий (уборщик производственных и служебных помещений)</t>
  </si>
  <si>
    <t>Халат</t>
  </si>
  <si>
    <t>Рукавицы комбинированные</t>
  </si>
  <si>
    <t>Перчатки резиновые</t>
  </si>
  <si>
    <t>Сапоги резиновые</t>
  </si>
  <si>
    <t>в т.ч. Истекает срок в 2018 г.</t>
  </si>
  <si>
    <t xml:space="preserve">(наименование краевого государственного  автономного  учреждения) </t>
  </si>
  <si>
    <t>Наименование краевого государственного автономного  учреждения</t>
  </si>
  <si>
    <t>Адрес фактического местонахождения краевого государственного автономного  учреждения</t>
  </si>
  <si>
    <t xml:space="preserve"> Сведения о деятельности краевого государственного  учреждения </t>
  </si>
  <si>
    <t>1. Цели деятельности краевого государственного бюджетного учреждения:</t>
  </si>
  <si>
    <t>2. Виды деятельности учреждения, относящиеся к его основным видам деятельности в соответствии с уставом учреждения:</t>
  </si>
  <si>
    <t>3. Перечень оказываемых услуг (выполняемых работ), относящихся в соответствии с уставом учреждения к основным видам деятельности учреждения, предоставление которых осуществляется физическим и юридическим лицам, в том числе за плату:</t>
  </si>
  <si>
    <t>Таблица № 1</t>
  </si>
  <si>
    <t>Нефинансовые активы, всего</t>
  </si>
  <si>
    <t>из них:</t>
  </si>
  <si>
    <t>Финансовые активы, всего</t>
  </si>
  <si>
    <t>2.1.</t>
  </si>
  <si>
    <t>2.2.</t>
  </si>
  <si>
    <t>2.3.</t>
  </si>
  <si>
    <t>Обязательства, всего</t>
  </si>
  <si>
    <t>Код строки</t>
  </si>
  <si>
    <t>Раздел, подраздел</t>
  </si>
  <si>
    <t xml:space="preserve">Целевая статья расходов </t>
  </si>
  <si>
    <t>Х</t>
  </si>
  <si>
    <t>доходы от штрафов, пеней, иных сумм принудительного изъятия</t>
  </si>
  <si>
    <t>Выплаты по расходам, всего:</t>
  </si>
  <si>
    <t>взносы по обязательному социальному страхованию на выплаты по оплате труда работников и иные  выплаты работникам учреждений</t>
  </si>
  <si>
    <t>Ткань сетка</t>
  </si>
  <si>
    <t>БЛАНОЧНАЯ ПРОДУКЦИЯ</t>
  </si>
  <si>
    <t>Классный журнал для 1-4 кл</t>
  </si>
  <si>
    <t>Классный журная для 5-9 кл</t>
  </si>
  <si>
    <t>Журнал группы продленного дня</t>
  </si>
  <si>
    <t>Медицинская карта ребенка</t>
  </si>
  <si>
    <t xml:space="preserve">Журнал учета работы объединений </t>
  </si>
  <si>
    <t>Книга складского учета М-17</t>
  </si>
  <si>
    <t>Карточка - справка</t>
  </si>
  <si>
    <t>ДЕЗИНФИЦИРУЮЩИЕ СРЕДСТВА</t>
  </si>
  <si>
    <r>
      <t>на 01.09.20</t>
    </r>
    <r>
      <rPr>
        <u/>
        <sz val="12"/>
        <rFont val="Times New Roman"/>
        <family val="1"/>
        <charset val="204"/>
      </rPr>
      <t>19</t>
    </r>
  </si>
  <si>
    <t>Необходимо приобрести
 в 2019 г.</t>
  </si>
  <si>
    <t>В т.ч. 
истекает срок в 2019 г.</t>
  </si>
  <si>
    <t>В.П.Сурова</t>
  </si>
  <si>
    <t>С.Н.Гуща</t>
  </si>
  <si>
    <t>Необходимо приобрести
 в 2020 г.</t>
  </si>
  <si>
    <t>В т.ч. 
истекает срок в 2020 г.</t>
  </si>
  <si>
    <t>О.В.Якубовская               Русский язык</t>
  </si>
  <si>
    <t>Л.К.Аксенова                  Русский язык</t>
  </si>
  <si>
    <t>Т.В.Алышева                         Математика</t>
  </si>
  <si>
    <t>В.В.Эк Математика</t>
  </si>
  <si>
    <t xml:space="preserve">М.Н.Перова                      Математика                                  </t>
  </si>
  <si>
    <t>Л.А.Кузнецова                 Ручной труд</t>
  </si>
  <si>
    <t>С.Ю.Ильина                      Чтение</t>
  </si>
  <si>
    <t>С.В.Кудрина                   Окружающий мир</t>
  </si>
  <si>
    <t>И.В.Вгожникова   История</t>
  </si>
  <si>
    <t xml:space="preserve">Б.П.Пузанов  История                        </t>
  </si>
  <si>
    <t>Т.М.Лифанова                   География</t>
  </si>
  <si>
    <t>Т.М.Лифанова                 Природоведение</t>
  </si>
  <si>
    <t>Лабораторные иследования</t>
  </si>
  <si>
    <r>
      <t>на 01.01.20</t>
    </r>
    <r>
      <rPr>
        <u/>
        <sz val="12"/>
        <rFont val="Times New Roman"/>
        <family val="1"/>
        <charset val="204"/>
      </rPr>
      <t>19</t>
    </r>
  </si>
  <si>
    <r>
      <t>на 01.01.20</t>
    </r>
    <r>
      <rPr>
        <u/>
        <sz val="12"/>
        <rFont val="Times New Roman"/>
        <family val="1"/>
        <charset val="204"/>
      </rPr>
      <t>20</t>
    </r>
  </si>
  <si>
    <r>
      <t>на 01.09.20</t>
    </r>
    <r>
      <rPr>
        <u/>
        <sz val="12"/>
        <rFont val="Times New Roman"/>
        <family val="1"/>
        <charset val="204"/>
      </rPr>
      <t>20</t>
    </r>
  </si>
  <si>
    <t xml:space="preserve">на 2018 год </t>
  </si>
  <si>
    <r>
      <t xml:space="preserve">12. Расчёт среднегодового контингента учащихся краевых общеобразовательных организаций на </t>
    </r>
    <r>
      <rPr>
        <b/>
        <u/>
        <sz val="11"/>
        <rFont val="Times New Roman"/>
        <family val="1"/>
        <charset val="204"/>
      </rPr>
      <t>2019</t>
    </r>
    <r>
      <rPr>
        <b/>
        <sz val="11"/>
        <rFont val="Times New Roman"/>
        <family val="1"/>
        <charset val="204"/>
      </rPr>
      <t xml:space="preserve"> год</t>
    </r>
  </si>
  <si>
    <r>
      <t xml:space="preserve">12. Расчёт среднегодового контингента учащихся краевых общеобразовательных организаций на </t>
    </r>
    <r>
      <rPr>
        <b/>
        <u/>
        <sz val="11"/>
        <rFont val="Times New Roman"/>
        <family val="1"/>
        <charset val="204"/>
      </rPr>
      <t>2020</t>
    </r>
    <r>
      <rPr>
        <b/>
        <sz val="11"/>
        <rFont val="Times New Roman"/>
        <family val="1"/>
        <charset val="204"/>
      </rPr>
      <t xml:space="preserve"> год</t>
    </r>
  </si>
  <si>
    <t xml:space="preserve">на 2019 год </t>
  </si>
  <si>
    <t xml:space="preserve">на 2020 год </t>
  </si>
  <si>
    <r>
      <t xml:space="preserve">Код видов расходов </t>
    </r>
    <r>
      <rPr>
        <b/>
        <sz val="12"/>
        <color indexed="8"/>
        <rFont val="Times New Roman"/>
        <family val="1"/>
        <charset val="204"/>
      </rPr>
      <t>244 Прочая закупка товаров, работ и услуг для обеспечения государственных (муниципальных) нужд</t>
    </r>
  </si>
  <si>
    <t>07507020220000610244</t>
  </si>
  <si>
    <t>6* 8 + 8 * 4</t>
  </si>
  <si>
    <r>
      <t>Количество дето-дней - всего</t>
    </r>
    <r>
      <rPr>
        <sz val="12"/>
        <rFont val="Times New Roman"/>
        <family val="1"/>
        <charset val="204"/>
      </rPr>
      <t>: С чел. * Х день = 7чел.*156 дней=1092</t>
    </r>
  </si>
  <si>
    <t>31* 8 + 30 * 4</t>
  </si>
  <si>
    <r>
      <t>Количество дето-дней - всего</t>
    </r>
    <r>
      <rPr>
        <sz val="12"/>
        <rFont val="Times New Roman"/>
        <family val="1"/>
        <charset val="204"/>
      </rPr>
      <t>: С чел. * Х день = 31 чел.*156 дней= 4836</t>
    </r>
  </si>
  <si>
    <t>10* 8 + 12* 4</t>
  </si>
  <si>
    <r>
      <t>Количество дето-дней - всего</t>
    </r>
    <r>
      <rPr>
        <sz val="12"/>
        <rFont val="Times New Roman"/>
        <family val="1"/>
        <charset val="204"/>
      </rPr>
      <t>: С чел. * Х день = 11 чел.*164 дня =1804</t>
    </r>
  </si>
  <si>
    <t>53235,66 руб.</t>
  </si>
  <si>
    <t>30126,23 руб. контракт с ООО "КСЕНОН+"  № 032 от 01.08.2017</t>
  </si>
  <si>
    <t xml:space="preserve">Мебель ученическая </t>
  </si>
  <si>
    <t xml:space="preserve">Тепловое оборудование </t>
  </si>
  <si>
    <t>Преобразователь сопротивления  КТСП-Н кл.А</t>
  </si>
  <si>
    <t>Преобразователь избыточного давления СДВ-И (1,6мПа)</t>
  </si>
  <si>
    <t>Терморегулирующий клапан ESTW д=25</t>
  </si>
  <si>
    <t xml:space="preserve">Вычислитель количества теплоты ВКТ-9 в сборе </t>
  </si>
  <si>
    <r>
      <t xml:space="preserve"> Осуществление работ по разработке проектно-сметной документации, проведению государственнной экспертизы проектно-сметной документации, </t>
    </r>
    <r>
      <rPr>
        <sz val="12"/>
        <color indexed="10"/>
        <rFont val="Times New Roman"/>
        <family val="1"/>
        <charset val="204"/>
      </rPr>
      <t>капитальному ремонту имущества</t>
    </r>
    <r>
      <rPr>
        <sz val="12"/>
        <color indexed="8"/>
        <rFont val="Times New Roman"/>
        <family val="1"/>
        <charset val="204"/>
      </rPr>
      <t xml:space="preserve">, закрепленного за бюджетными учреждениями на праве оперативного управления </t>
    </r>
    <r>
      <rPr>
        <sz val="12"/>
        <color indexed="10"/>
        <rFont val="Times New Roman"/>
        <family val="1"/>
        <charset val="204"/>
      </rPr>
      <t>(ЛСР прилагаются)</t>
    </r>
  </si>
  <si>
    <r>
      <t xml:space="preserve">Код видов расходов: </t>
    </r>
    <r>
      <rPr>
        <b/>
        <sz val="12"/>
        <color indexed="8"/>
        <rFont val="Times New Roman"/>
        <family val="1"/>
        <charset val="204"/>
      </rPr>
      <t>243 Закупка товаров, работ, услуг в целях капитального ремонта государственного (муниципального) имущества</t>
    </r>
  </si>
  <si>
    <r>
      <t xml:space="preserve">Капитальный ремонт здания ( </t>
    </r>
    <r>
      <rPr>
        <i/>
        <sz val="12"/>
        <color indexed="8"/>
        <rFont val="Times New Roman"/>
        <family val="1"/>
        <charset val="204"/>
      </rPr>
      <t>устройство туалетных комнат и септика)</t>
    </r>
    <r>
      <rPr>
        <sz val="12"/>
        <color indexed="8"/>
        <rFont val="Times New Roman"/>
        <family val="1"/>
        <charset val="204"/>
      </rPr>
      <t xml:space="preserve"> </t>
    </r>
    <r>
      <rPr>
        <sz val="12"/>
        <color indexed="9"/>
        <rFont val="Times New Roman"/>
        <family val="1"/>
        <charset val="204"/>
      </rPr>
      <t xml:space="preserve">нтракт № 441 от 11.01.2017г. с ИП Овчарова Татьяна Петровна) </t>
    </r>
  </si>
  <si>
    <t xml:space="preserve">305283,00 руб.  локальная смета  прилагается </t>
  </si>
  <si>
    <t>07523022000061006</t>
  </si>
  <si>
    <t xml:space="preserve">157322,03 руб. локальный сметный расчет  прилагается </t>
  </si>
  <si>
    <t xml:space="preserve">Монтаж умывальников  и ножных ванн в санитарных узлах </t>
  </si>
  <si>
    <t xml:space="preserve">158125,00 руб. локальный сметный расчет  прилагается </t>
  </si>
  <si>
    <r>
      <t xml:space="preserve">Монтаж, демонтаж, установка оборудования, металлических конструкций, счетчика теплоэнергии и горячей воды, трехфазного счетчика, системы контроля и управления доступом </t>
    </r>
    <r>
      <rPr>
        <i/>
        <sz val="12"/>
        <rFont val="Times New Roman"/>
        <family val="1"/>
        <charset val="204"/>
      </rPr>
      <t>(работы по  монтажу узла учета тепловой энергии )</t>
    </r>
  </si>
  <si>
    <t>075.23.0220000610.01</t>
  </si>
  <si>
    <r>
      <t xml:space="preserve">Код видов расходов : </t>
    </r>
    <r>
      <rPr>
        <b/>
        <sz val="12"/>
        <color indexed="8"/>
        <rFont val="Times New Roman"/>
        <family val="1"/>
        <charset val="204"/>
      </rPr>
      <t>110 Расходы на выплаты персоналу учреждений</t>
    </r>
  </si>
  <si>
    <t>8606,00 руб. * 2 полугодия</t>
  </si>
  <si>
    <t xml:space="preserve">Разработка ПСД на  монтаж узла учета тепловой эненргии </t>
  </si>
  <si>
    <t>50000,00*1 ед</t>
  </si>
  <si>
    <t>Обучение по программе профессиональной переподготовки : "Диетология "</t>
  </si>
  <si>
    <t>16700 руб.*1 чел.</t>
  </si>
  <si>
    <t>Расходы на подключение к сети VipNet</t>
  </si>
  <si>
    <t xml:space="preserve">17590 руб. *1 шт </t>
  </si>
  <si>
    <t>№ 543н от 03.10.2008г, п.234</t>
  </si>
  <si>
    <t>Слесарь-электрик по ремонту  электрооборудования</t>
  </si>
  <si>
    <t xml:space="preserve">Костюм хлопчатобумажный </t>
  </si>
  <si>
    <t>Ботинки кожаные</t>
  </si>
  <si>
    <t>Руковицы комбинированные</t>
  </si>
  <si>
    <t>Перчатки диэлектрические</t>
  </si>
  <si>
    <t>Голоши диэлектрические</t>
  </si>
  <si>
    <t>№ 541н  от 01.10.2008г, п.80</t>
  </si>
  <si>
    <t>Костюм из смешанных тканей</t>
  </si>
  <si>
    <t>Плащ хлопчатобумажный с водоотталкивающей пропиткой</t>
  </si>
  <si>
    <t>Брюки на утепляющей прокладе</t>
  </si>
  <si>
    <t>Полушубок III,II, и I поясах</t>
  </si>
  <si>
    <t>Валенки или сапоги кожанные утепленные</t>
  </si>
  <si>
    <t>№ 357н от 22.06.2009г, п.2</t>
  </si>
  <si>
    <t>Водитель автомобиля</t>
  </si>
  <si>
    <t>Перчатки  трикотажные с полимерным покрытием или рукавицы комбинированные</t>
  </si>
  <si>
    <t>Жилет сигнальный 2 класс защиты</t>
  </si>
  <si>
    <t>№ 541н от 01.10.2008г,п.30</t>
  </si>
  <si>
    <t>Халат хлопчатобумажный</t>
  </si>
  <si>
    <t>№ 65 от 29.01.1998г, п1, приложение 2</t>
  </si>
  <si>
    <t>Халат хлобчатобумажный</t>
  </si>
  <si>
    <t xml:space="preserve">Колпак или  косынка хлопчатобумажные </t>
  </si>
  <si>
    <t>№ 308 от 27.12.1983г. п.11</t>
  </si>
  <si>
    <t xml:space="preserve">Куртка белая хлопчатобумажная </t>
  </si>
  <si>
    <t>Шапочка белая хлопчатобумажная или косынка</t>
  </si>
  <si>
    <t>№ 308 от 27.12.1983г.п.9</t>
  </si>
  <si>
    <t>Фартук хлопчатобумажный с водоотталкивающей пропиткой</t>
  </si>
  <si>
    <t>Врач, средний и младший медицинский персонал</t>
  </si>
  <si>
    <t>Сурова В.П.</t>
  </si>
  <si>
    <t>Гуща С.Н.</t>
  </si>
  <si>
    <t xml:space="preserve">  из них:                                                                                                                </t>
  </si>
  <si>
    <t xml:space="preserve">  из них:     </t>
  </si>
  <si>
    <t xml:space="preserve">  в недвижимое имущество учреждения</t>
  </si>
  <si>
    <t>денежные средства краевого государственного учреждения, всего</t>
  </si>
  <si>
    <t>иные финансовые инструменты</t>
  </si>
  <si>
    <t>дебиторская задолженность по доходам</t>
  </si>
  <si>
    <t>дебиторская задолженность по расходам</t>
  </si>
  <si>
    <t>долговые обязательства</t>
  </si>
  <si>
    <t xml:space="preserve">  из них:</t>
  </si>
  <si>
    <t>кредиторская задолженность:</t>
  </si>
  <si>
    <t>приобретение товаров, работ, услуг в пользу граждан в целях их социального обеспечения</t>
  </si>
  <si>
    <t>Остатки капитальных вложений, подлежащих перечислению в бюджет</t>
  </si>
  <si>
    <t>Поступления , всего:</t>
  </si>
  <si>
    <t>поступление от аренды активов</t>
  </si>
  <si>
    <t>26* 8 + 25* 4</t>
  </si>
  <si>
    <r>
      <t>Количество дето-дней - всего</t>
    </r>
    <r>
      <rPr>
        <sz val="12"/>
        <rFont val="Times New Roman"/>
        <family val="1"/>
        <charset val="204"/>
      </rPr>
      <t>: С чел. * Х день = 26 чел.*164 дня= 4920</t>
    </r>
  </si>
  <si>
    <t>8* 8 + 9 * 4</t>
  </si>
  <si>
    <t>где: А - кол-во детей на 1 января 2019 г.</t>
  </si>
  <si>
    <t>Б - кол-во детей на 1 сентября 2019 г.</t>
  </si>
  <si>
    <r>
      <t>Количество дето-дней - всего</t>
    </r>
    <r>
      <rPr>
        <sz val="12"/>
        <rFont val="Times New Roman"/>
        <family val="1"/>
        <charset val="204"/>
      </rPr>
      <t>: С чел. * Х день = 8 чел.*151 день=1208</t>
    </r>
  </si>
  <si>
    <t>Среднегодовое количество детей на 2019г., чел.</t>
  </si>
  <si>
    <t>Кол-во дней функционирования в 2019г.</t>
  </si>
  <si>
    <t>Плановая стоимость питания 1 ребенка в день на 2019г., руб.</t>
  </si>
  <si>
    <t>Количество дето-дней в 2019г.</t>
  </si>
  <si>
    <t>30* 8 + 29 * 4</t>
  </si>
  <si>
    <r>
      <t>Количество дето-дней - всего</t>
    </r>
    <r>
      <rPr>
        <sz val="12"/>
        <rFont val="Times New Roman"/>
        <family val="1"/>
        <charset val="204"/>
      </rPr>
      <t>: С чел. * Х день = 30 чел.*151 день= 4530</t>
    </r>
  </si>
  <si>
    <t>12* 8 + 12* 4</t>
  </si>
  <si>
    <r>
      <t>Количество дето-дней - всего</t>
    </r>
    <r>
      <rPr>
        <sz val="12"/>
        <rFont val="Times New Roman"/>
        <family val="1"/>
        <charset val="204"/>
      </rPr>
      <t>: С чел. * Х день = 12 чел.*160 дней =1902</t>
    </r>
  </si>
  <si>
    <t>25* 8 + 25* 4</t>
  </si>
  <si>
    <r>
      <t>Количество дето-дней - всего</t>
    </r>
    <r>
      <rPr>
        <sz val="12"/>
        <rFont val="Times New Roman"/>
        <family val="1"/>
        <charset val="204"/>
      </rPr>
      <t>: С чел. * Х день = 25 чел.*160 дней= 4000</t>
    </r>
  </si>
  <si>
    <t>где: А - кол-во детей на 1 января 2020 г.</t>
  </si>
  <si>
    <t>Б - кол-во детей на 1 сентября 2020 г.</t>
  </si>
  <si>
    <t>9* 8 + 10 * 4</t>
  </si>
  <si>
    <r>
      <t>Количество дето-дней - всего</t>
    </r>
    <r>
      <rPr>
        <sz val="12"/>
        <rFont val="Times New Roman"/>
        <family val="1"/>
        <charset val="204"/>
      </rPr>
      <t>: С чел. * Х день = 9 чел.*151 день=1359</t>
    </r>
  </si>
  <si>
    <t>Среднегодовое количество детей на 2020г., чел.</t>
  </si>
  <si>
    <t>Кол-во дней функционирования в 2020г.</t>
  </si>
  <si>
    <t>Плановая стоимость питания 1 ребенка в день на 2020г., руб.</t>
  </si>
  <si>
    <t>Количество дето-дней в 2020г.</t>
  </si>
  <si>
    <t>29* 8 + 28 * 4</t>
  </si>
  <si>
    <r>
      <t>Количество дето-дней - всего</t>
    </r>
    <r>
      <rPr>
        <sz val="12"/>
        <rFont val="Times New Roman"/>
        <family val="1"/>
        <charset val="204"/>
      </rPr>
      <t>: С чел. * Х день = 29 чел.*151 день= 4379</t>
    </r>
  </si>
  <si>
    <r>
      <t>Количество дето-дней - всего</t>
    </r>
    <r>
      <rPr>
        <sz val="12"/>
        <rFont val="Times New Roman"/>
        <family val="1"/>
        <charset val="204"/>
      </rPr>
      <t>: С чел. * Х день = 12 чел.*161 день =1932</t>
    </r>
  </si>
  <si>
    <r>
      <t>Количество дето-дней - всего</t>
    </r>
    <r>
      <rPr>
        <sz val="12"/>
        <rFont val="Times New Roman"/>
        <family val="1"/>
        <charset val="204"/>
      </rPr>
      <t>: С чел. * Х день = 25 чел.*161 день= 4025</t>
    </r>
  </si>
  <si>
    <t xml:space="preserve">2020 год </t>
  </si>
  <si>
    <t xml:space="preserve">Мягкий инвентарь для обучающихся , с ограниченными возможностями здоровья , проживающих в интернатах </t>
  </si>
  <si>
    <t>Обмундирование всего:</t>
  </si>
  <si>
    <t>Простыня</t>
  </si>
  <si>
    <t>штук</t>
  </si>
  <si>
    <t>Пододеяльник</t>
  </si>
  <si>
    <t>Наволочка для  подушки нижняя</t>
  </si>
  <si>
    <t xml:space="preserve">Наволочка для  подушки верхняя </t>
  </si>
  <si>
    <t xml:space="preserve">Полотенце </t>
  </si>
  <si>
    <t>Полотенце махровое</t>
  </si>
  <si>
    <t>Одеяло шерстяное или ватное</t>
  </si>
  <si>
    <t xml:space="preserve">Одеяло байковое </t>
  </si>
  <si>
    <t>Матрац</t>
  </si>
  <si>
    <t xml:space="preserve">Покрывало </t>
  </si>
  <si>
    <t xml:space="preserve">Подушка </t>
  </si>
  <si>
    <t xml:space="preserve">Коврик прикроватный </t>
  </si>
  <si>
    <t>Портфель,сумка</t>
  </si>
  <si>
    <t xml:space="preserve">Кровать </t>
  </si>
  <si>
    <t xml:space="preserve">Тумба прикроватная </t>
  </si>
  <si>
    <t>ВСЕГО :</t>
  </si>
  <si>
    <t>Труба полипропиленовая Контур PN20 D20*2000</t>
  </si>
  <si>
    <t xml:space="preserve">ЛЕКАРСТВЕННЫЕ  ПРЕПАРАТЫ </t>
  </si>
  <si>
    <t>ИЗДЕЛИЯ МЕДИЦИНСКОГО НАЗНАЧЕНИЯ</t>
  </si>
  <si>
    <t xml:space="preserve">ТОВАРЫ БЫТОВОЙ ХИМИИ </t>
  </si>
  <si>
    <t xml:space="preserve">ЭЛЕКТРОТЕХНИЧЕСКАЯ ПРОДУКЦИЯ </t>
  </si>
  <si>
    <t>Сумма окладов (должностных окладов), ставок заработной платы, руб.</t>
  </si>
  <si>
    <t>Виды компенсационных выплат</t>
  </si>
  <si>
    <t>ВСЕГО                зарплата в месяц, руб.</t>
  </si>
  <si>
    <t>Краска ВД Лакра цвет белый, 14 кг.</t>
  </si>
  <si>
    <t>шт</t>
  </si>
  <si>
    <t>Стекло листовое, 09 м*1,5 м</t>
  </si>
  <si>
    <t>Фанера 6 мм 1525 * 1525 мм ГОСТ 3916.1-96</t>
  </si>
  <si>
    <t>Поликарбонат 6 м*1,5 м</t>
  </si>
  <si>
    <t>Профлист металлический, 6 м.*1,5 м</t>
  </si>
  <si>
    <t>Доска обрезная, 0,50мм*0,180мм*6м</t>
  </si>
  <si>
    <t>куб.м</t>
  </si>
  <si>
    <t>Плита ДВП 3,2*1220*1373 мм</t>
  </si>
  <si>
    <t>Гипсокартон 2500*1200*12,5 мм</t>
  </si>
  <si>
    <t>Полотно дверное 0,90*200 см</t>
  </si>
  <si>
    <t>Линолиум каммерческий, 3,0 м</t>
  </si>
  <si>
    <t>пог.м</t>
  </si>
  <si>
    <t xml:space="preserve">Экран для радиатора Лотос, 60*120см </t>
  </si>
  <si>
    <t>Пленка самоклеящаяся, 0,45*10 м</t>
  </si>
  <si>
    <t>Пена монтажная,800 мл.</t>
  </si>
  <si>
    <t>Олифа Оксоль ПВ 1л</t>
  </si>
  <si>
    <t>Кисть для радиатора 25 мм</t>
  </si>
  <si>
    <t>Кисть фасадная со смешанной щетиной 150 мм</t>
  </si>
  <si>
    <t xml:space="preserve">Эмаль ПФ - 115 белая (2 кг)          ГОСТ 6465-76 </t>
  </si>
  <si>
    <t>кг</t>
  </si>
  <si>
    <t>Эмаль ПФ - 115 голубая (2 кг)       ГОСТ 6465-76(1кг)</t>
  </si>
  <si>
    <t>Эмаль ПФ-115  синяя (2 кг)           ГОСТ 6465-76</t>
  </si>
  <si>
    <t>Эмаль ПФ-115 бирюза (2 кг)         ГОСТ 6465-76</t>
  </si>
  <si>
    <t>Эмаль ПФ-115 коричневая (2 кг) ГОСТ 6465-76</t>
  </si>
  <si>
    <t>Саморез по дереву 3.5х41, 1000 шт</t>
  </si>
  <si>
    <t>упаковка</t>
  </si>
  <si>
    <t>Саморез по дереву 3.5х71, 1000 шт</t>
  </si>
  <si>
    <t>Саморез по дереву 3.5х90, 1000 шт</t>
  </si>
  <si>
    <t>Саморез по дереву 3.5х120, 1000 шт</t>
  </si>
  <si>
    <t>Саморез по дереву 3.5х150, 1000 шт</t>
  </si>
  <si>
    <t>Канализационные кольца ЖБ, толщина стенок 140мм,d кольца 1,2 м</t>
  </si>
  <si>
    <t xml:space="preserve">Крышка кольца ЖБ, высота 0,9 м </t>
  </si>
  <si>
    <t>Кран-букса</t>
  </si>
  <si>
    <t>Смеситель для кухни настенный</t>
  </si>
  <si>
    <t>Смеситель для душа</t>
  </si>
  <si>
    <t>Манжета переходная</t>
  </si>
  <si>
    <t>Ниппель переходник</t>
  </si>
  <si>
    <t>Угольник полипропиленовый 45 град.</t>
  </si>
  <si>
    <t>Угольник полипропиленовый комбинированный наружная резьба Контур D25-3/4</t>
  </si>
  <si>
    <t>Кран полипропиленовый шаровый Контур D25</t>
  </si>
  <si>
    <t>Муфта полипропиленова комбинированная Контурт внутренняя резьба</t>
  </si>
  <si>
    <t>Тройник полипропиленовый комбинированный Контур наружная резьба D20-3/4</t>
  </si>
  <si>
    <t>Опора Контур D25</t>
  </si>
  <si>
    <t>Труба серая безнапорная Дн 110 250</t>
  </si>
  <si>
    <t>Труба серая безнапорная Дн 50 150</t>
  </si>
  <si>
    <t>Муфта двухтрубная серая безнапорная Дн 110</t>
  </si>
  <si>
    <t>Подводка гибкая для воды STC HI/2*BI/2 1200</t>
  </si>
  <si>
    <t>Смеситель шаровый Triton ЕСО 1016 К</t>
  </si>
  <si>
    <t>Гофра для унитаза McFlpine(330/950) WC-F33R</t>
  </si>
  <si>
    <t>Размер денежной компенсации, руб.*</t>
  </si>
  <si>
    <t>Размер стипендии, руб.*</t>
  </si>
  <si>
    <t>Стоимость проезда туда-обратно, руб.</t>
  </si>
  <si>
    <t>Размер ежемесячной денежной выплаты, руб.</t>
  </si>
  <si>
    <t xml:space="preserve">* Стоимость указывается с учетом корректирующих коэффициентов в зависимости от географического положения муниципального образования края
</t>
  </si>
  <si>
    <t>* Стоимость указывается с учетом корректирующих коэффициентов в зависимости от географического положения муниципального образования края</t>
  </si>
  <si>
    <t xml:space="preserve">Справочно: фонд стимулирующих выплат руководителя </t>
  </si>
  <si>
    <t>Капитальные вложения в объекты государственной собственности</t>
  </si>
  <si>
    <t>406, 407, 412, 414</t>
  </si>
  <si>
    <t>приобретение объектов недвижимого имущества государственными учреждениями, строительство (реконструкция) объектов недвижимого имущества государственными учреждениями, бюджетные инвестиции на приобретение объектов недвижимого имущества в государственную собственность, бюджетные инвестиции  в объекты капитального строительства государственной собственности и т.д.</t>
  </si>
  <si>
    <t xml:space="preserve">на очередной финансовый год  </t>
  </si>
  <si>
    <t xml:space="preserve">и плановый период </t>
  </si>
  <si>
    <t>Таблица № 2.4</t>
  </si>
  <si>
    <t>Таблица № 3.1</t>
  </si>
  <si>
    <t>Таблица № 3.2</t>
  </si>
  <si>
    <t>Таблица № 3.3</t>
  </si>
  <si>
    <t>Таблица № 3.3.1</t>
  </si>
  <si>
    <t>Таблица № 3.4</t>
  </si>
  <si>
    <t>Таблица № 3.5</t>
  </si>
  <si>
    <t>Таблица № 3.6</t>
  </si>
  <si>
    <t>Таблица № 3.7</t>
  </si>
  <si>
    <t>Таблица № 3.8</t>
  </si>
  <si>
    <t>Таблица № 3.9</t>
  </si>
  <si>
    <t>Таблица № 3.10</t>
  </si>
  <si>
    <t>Таблица № 3.11</t>
  </si>
  <si>
    <t>Таблица № 3.12</t>
  </si>
  <si>
    <t>Таблица № 3.13</t>
  </si>
  <si>
    <t>Таблица № 3.14</t>
  </si>
  <si>
    <t>Таблица № 3.15</t>
  </si>
  <si>
    <t>Таблица № 3.16</t>
  </si>
  <si>
    <t>Таблица № 8.1</t>
  </si>
  <si>
    <t>Таблица № 8.2</t>
  </si>
  <si>
    <t>Таблица № 8.3</t>
  </si>
  <si>
    <t>Таблица № 8.3.1</t>
  </si>
  <si>
    <t>Таблица № 8.3.2</t>
  </si>
  <si>
    <t>Таблица № 8.4</t>
  </si>
  <si>
    <t>Таблица № 8.5</t>
  </si>
  <si>
    <t>Таблица № 9.1</t>
  </si>
  <si>
    <t>Таблица № 9.3</t>
  </si>
  <si>
    <t>Таблица № 9.4</t>
  </si>
  <si>
    <t>Таблица № 9.5</t>
  </si>
  <si>
    <t>Таблица № 9.6</t>
  </si>
  <si>
    <t>Таблица № 9.7</t>
  </si>
  <si>
    <t>Таблица № 9.8</t>
  </si>
  <si>
    <t>Таблица № 9.11</t>
  </si>
  <si>
    <t>Таблица № 9.12</t>
  </si>
  <si>
    <t>- обучающиеся 12-18 лет</t>
  </si>
  <si>
    <t>- обучающиеся 6-11 лет</t>
  </si>
  <si>
    <t>Проходящие обучение на дому, в т.ч.:</t>
  </si>
  <si>
    <t>в т.ч. выпускники</t>
  </si>
  <si>
    <t>девочки</t>
  </si>
  <si>
    <t>мальчики</t>
  </si>
  <si>
    <t>- воспитанники старше 6 лет, из них:</t>
  </si>
  <si>
    <t>- дошкольники 3-6 лет, из них:</t>
  </si>
  <si>
    <t>Дети-сироты и дети, оставшиеся без попечения родителей, в т.ч.:</t>
  </si>
  <si>
    <t>- воспитанники 11-18 лет, из них:</t>
  </si>
  <si>
    <t>- воспитанники 7-10 лет, из них:</t>
  </si>
  <si>
    <t>из них находящиеся в учреждении в выходные, праздничные и каникулярные дни, в т.ч.:</t>
  </si>
  <si>
    <t>воспитанники 11-18 лет</t>
  </si>
  <si>
    <t>воспитанники 7-10 лет</t>
  </si>
  <si>
    <t>дошкольники 3-6 лет</t>
  </si>
  <si>
    <t>Численность воспитанников всего</t>
  </si>
  <si>
    <t>Среднегодовая численность</t>
  </si>
  <si>
    <t>Таблица № 12</t>
  </si>
  <si>
    <t>Остаток по субсидии на выполнение государсивенного задания, подлежащий перечислению в бюджет</t>
  </si>
  <si>
    <t>в соответствии с Федеральным законом от 5 апреля 2013 г.
 № 44-ФЗ «О контрактной системе в сфере закупок товаров, работ, услуг для обеспечения государственных и муниципальных нужд»</t>
  </si>
  <si>
    <t>в соответствии с Федеральным законом от 18 июля 2011 г.
 № 223-ФЗ «О закупках товаров, работ, услуг отдельными видами юридических лиц»</t>
  </si>
  <si>
    <t>Краевое государственное</t>
  </si>
  <si>
    <t>ОБ ОПЕРАЦИЯХ С ЦЕЛЕВЫМИ СУБСИДИЯМИ, ПРЕДОСТАВЛЕННЫМИ  КРАЕВОМУ ГОСУДАРСТВЕННОМУ УЧРЕЖДЕНИЮ НА 20</t>
  </si>
  <si>
    <t>(наименование должности лица, утверждающего документ</t>
  </si>
  <si>
    <t>наименование органа, осуществляющего функции и полномочия учредителя (учреждения))</t>
  </si>
  <si>
    <t>План финансово-хозяйственной деятельности</t>
  </si>
  <si>
    <t xml:space="preserve">Приложение № 2
к Порядку составления и утверждения плана финансово-хозяйственной деятельности краевых государственных бюджетных и автономных учреждений, в отношении которых министерство образования Красноярского края осуществляет функции и полномочия учредителя, утвержденному приказом министерства образования Красноярского края
от                         № </t>
  </si>
  <si>
    <r>
      <t xml:space="preserve">Приложение № 3
к Порядку составления и утверждения плана финансово-хозяйственной деятельности краевых государственных бюджетных и автономных учреждений, в отношении которых министерство образования Красноярского края осуществляет функции и полномочия учредителя, утвержденному приказом министерства образования Красноярского края
от   </t>
    </r>
    <r>
      <rPr>
        <sz val="12"/>
        <color indexed="9"/>
        <rFont val="Times New Roman"/>
        <family val="1"/>
        <charset val="204"/>
      </rPr>
      <t>06.12.2010</t>
    </r>
    <r>
      <rPr>
        <sz val="12"/>
        <rFont val="Times New Roman"/>
        <family val="1"/>
        <charset val="204"/>
      </rPr>
      <t xml:space="preserve">      № </t>
    </r>
    <r>
      <rPr>
        <sz val="12"/>
        <color indexed="9"/>
        <rFont val="Times New Roman"/>
        <family val="1"/>
        <charset val="204"/>
      </rPr>
      <t>35-04/1</t>
    </r>
  </si>
  <si>
    <t>постановлением</t>
  </si>
  <si>
    <t>Минимальный оклад (должностной оклад), ставка заработной платы, руб.</t>
  </si>
  <si>
    <t xml:space="preserve">Доплата за вредн. условия труда, руб. </t>
  </si>
  <si>
    <t>таблица № 3.7</t>
  </si>
  <si>
    <t>таблица № 3.8</t>
  </si>
  <si>
    <t>Ед. изм</t>
  </si>
  <si>
    <t>Кол-во работников/ обучающихся, чел.</t>
  </si>
  <si>
    <t>Сумма, руб. (гр. 4 х гр. 5)</t>
  </si>
  <si>
    <t>Расходы по оплате договоров на приобретение горюче-смазочных материалов Таблица № 3.11</t>
  </si>
  <si>
    <t>Расходы на приобретение мягкого инвентаря и оборудования для общежития Таблица № 3.12</t>
  </si>
  <si>
    <t>Расходы на обеспечение одеждой, обувью, мягким инвентарем и оборудованием  Таблица № 3.13</t>
  </si>
  <si>
    <t>Расходы на приобретение специальной одежды и специальной обуви Таблица № 3.14</t>
  </si>
  <si>
    <t>Расходы на приобретение материальных запасов для учебных целей обучающихся Таблица № 3.15</t>
  </si>
  <si>
    <t>Расходы на приобретение продуктов питания Таблица № 3.16</t>
  </si>
  <si>
    <t>Всего в год на служебный транспорт (командировки), л</t>
  </si>
  <si>
    <t>Итого количество часов           (гр. 4 х гр. 5)</t>
  </si>
  <si>
    <t>Сумма в год, руб. (гр. 8 х гр. 9)</t>
  </si>
  <si>
    <t>Сумма, руб. (гр. 5 х гр. 6)</t>
  </si>
  <si>
    <t>Сумма, руб.
 (гр. 4 х гр. 5)</t>
  </si>
  <si>
    <t>Срок носки, службы, лет</t>
  </si>
  <si>
    <t>коли-чество (гр. 4 х гр. 6 - гр. 7 +гр .8)</t>
  </si>
  <si>
    <t>сумма, руб. (гр. 9 х гр. 10)</t>
  </si>
  <si>
    <t>Необходимо приобрести, шт. (гр. 5 х гр. 6 - гр. 7 +гр. 8)</t>
  </si>
  <si>
    <t>Сумма, руб. (гр. 9 х гр. 10)</t>
  </si>
  <si>
    <t xml:space="preserve">Приложение № 4
к Порядку составления и утверждения плана финансово-хозяйственной деятельности краевых государственных бюджетных и автономных учреждений, в отношении которых министерство образования Красноярского края осуществляет функции и полномочия учредителя, утвержденному приказом министерства образования Красноярского края
от                № </t>
  </si>
  <si>
    <t>Сумма, руб. (гр. 2 х гр. 3 х гр. 4)</t>
  </si>
  <si>
    <t>7 (гр. 3 х гр. 4 х гр.5 + гр.6)</t>
  </si>
  <si>
    <t>Директор</t>
  </si>
  <si>
    <t xml:space="preserve">В.П. Сурова </t>
  </si>
  <si>
    <t xml:space="preserve">руководитель учреждения (уполномоченное лицо) </t>
  </si>
  <si>
    <t>краевое государственное  бюджетное  общеобразовательное учреждение «Тинская школа-интернат»</t>
  </si>
  <si>
    <t>краевого государственного  бюджетного  общеобразовательного учреждения «Тинская школа-интернат»</t>
  </si>
  <si>
    <t xml:space="preserve">Заместитель директора </t>
  </si>
  <si>
    <t xml:space="preserve">краевого государственного казенного учреждения по обеспечению исполнения полномочий в области образования </t>
  </si>
  <si>
    <t>Т.В. Пустошилова</t>
  </si>
  <si>
    <t>2428000062 / 242801001</t>
  </si>
  <si>
    <t>министерство образования  Красноярского края</t>
  </si>
  <si>
    <t xml:space="preserve">663830, Красноярский край, Нижнеингашский район, п.Тинской , ул.Первомайская ,47.                                                                                              </t>
  </si>
  <si>
    <t>а) создание условий для эффективной реализации и освоения обучающимися с умственной отсталостью (интеллектуальными нарушениями) адаптированной основной общеобразовательной программы, в том числе условий для индивидуального развития всех обучающихся; 
б) обеспечение равных возможностей получения качественного образования обучающимися с умственной отсталостью (интеллектуальными нарушениями); 
в) духовно-нравственное развитие обучающихся с умственной отсталостью (интеллектуальными нарушениями), формирование основ их гражданской идентичности как основного направления развития гражданского общества, формирование основ умения учиться и способности к организации своей деятельности, укрепление физического и духовного здоровья.</t>
  </si>
  <si>
    <t>а) образование начальное общее;
б) образование основное общее;
в) предоставление прочих социальных услуг без обеспечения проживания;
г) предоставление прочих персональных услуг, не включенных в другие группировки;
д) деятельность столовых и буфетов при предприятиях и учреждениях;
е) деятельность по предоставлению прочих мест для временного проживания.</t>
  </si>
  <si>
    <t>075.10.0000000000.00</t>
  </si>
  <si>
    <t>075.21.0220000610.01</t>
  </si>
  <si>
    <t>075.22.0220000610.01</t>
  </si>
  <si>
    <t xml:space="preserve">Заведующий Канским филиалом  КГСБУ
"Территориальная централизованная
бухгалтерия" </t>
  </si>
  <si>
    <t xml:space="preserve">                              Г.И. Артамонова</t>
  </si>
  <si>
    <t xml:space="preserve">                                        С.Н. Гуща</t>
  </si>
  <si>
    <t>тел. 8 (39161) 2-60-18</t>
  </si>
  <si>
    <r>
      <t xml:space="preserve">Источник финансового обеспечения </t>
    </r>
    <r>
      <rPr>
        <b/>
        <sz val="12"/>
        <rFont val="Times New Roman"/>
        <family val="1"/>
        <charset val="204"/>
      </rPr>
      <t>4 Субсидия на выполнение государственного задания</t>
    </r>
  </si>
  <si>
    <t xml:space="preserve">- за предоставление лицензии  на медицинскую деятельность                                ( ст.333.33., п.92 п/п 1 НК РФ)    </t>
  </si>
  <si>
    <t>ед</t>
  </si>
  <si>
    <t>Примечание</t>
  </si>
  <si>
    <t>Доплата работникам за работу в общеобразовательных школах-интернатах в размере 15 %, руб.</t>
  </si>
  <si>
    <t>Доплата воспитателям образовательных учреждений со специальными наименованиями "кадетская школа" 20 %</t>
  </si>
  <si>
    <t>Прочие доплаты, руб.</t>
  </si>
  <si>
    <t xml:space="preserve">Директор  </t>
  </si>
  <si>
    <t>(ФИО)</t>
  </si>
  <si>
    <t>Унифицированная форма № Т-3</t>
  </si>
  <si>
    <t>Утверждена</t>
  </si>
  <si>
    <t>Госкомстата России</t>
  </si>
  <si>
    <t>от 05.01.2004 № 1</t>
  </si>
  <si>
    <t xml:space="preserve">               (Наименование учреждения )</t>
  </si>
  <si>
    <t xml:space="preserve">на период ____________ г.  с "       "                        г.  </t>
  </si>
  <si>
    <t xml:space="preserve">от "           "                                    г.   №    </t>
  </si>
  <si>
    <t xml:space="preserve">Штат в количестве  _______ </t>
  </si>
  <si>
    <t>Исполнитель</t>
  </si>
  <si>
    <t>Руководитель учреждения</t>
  </si>
  <si>
    <t>подпись</t>
  </si>
  <si>
    <t>расшифровка подписи</t>
  </si>
  <si>
    <t>Таблица № 2.1</t>
  </si>
  <si>
    <t>Таблица № 2.5</t>
  </si>
  <si>
    <t>Потребность в основных средствах</t>
  </si>
  <si>
    <t>Главный бухгалтер / Руководитель ТЦБ</t>
  </si>
  <si>
    <t>прочие доходы, всего:</t>
  </si>
  <si>
    <t>гранты</t>
  </si>
  <si>
    <t xml:space="preserve">Объем финансового обеспечения всего, руб. </t>
  </si>
  <si>
    <t>приносящая доход деятельность от оказания учреждением платных услуг (выполнения работ) и иная приносящая доход деятельносьи, всего:</t>
  </si>
  <si>
    <t>Таблица № 2</t>
  </si>
  <si>
    <t>стипендии</t>
  </si>
  <si>
    <t xml:space="preserve">прочие расходы </t>
  </si>
  <si>
    <t xml:space="preserve">Бюджетные инвестиции  </t>
  </si>
  <si>
    <t>Прочая закупка товаров работ и услуг для обеспечения государственных нужд, из них:</t>
  </si>
  <si>
    <t>приобретение товаров, работ, услуг в пользу граждан в целях их социального обеспечения, из них:</t>
  </si>
  <si>
    <t>Иные закупки товаров, работ и услуг для обеспечения государственных нужд всего:</t>
  </si>
  <si>
    <t xml:space="preserve">Прочие расходы </t>
  </si>
  <si>
    <t>Кредиторская задолженность (принятое обязательство)</t>
  </si>
  <si>
    <t xml:space="preserve">*Размер стипендии указывается с учетом установленных в Красноярском крае районного коэффициента, процентной надбавки за работу в районах Крайнего Севера и приравненных к ним местностях </t>
  </si>
  <si>
    <t>Размер пособия, руб.*</t>
  </si>
  <si>
    <t xml:space="preserve">* Размер пособия указывается с учетом установленных в Красноярском крае районного коэффициента, процентной надбавки за работу в районах Крайнего Севера и приравненных к ним местностях </t>
  </si>
  <si>
    <t>Срок договора аренды (указать единицу измерения)</t>
  </si>
  <si>
    <t xml:space="preserve">Обмундирование для мальчиков </t>
  </si>
  <si>
    <t>Одежда верхняя зимняя</t>
  </si>
  <si>
    <t>Одежда верхняя демисезонная</t>
  </si>
  <si>
    <t>Шарф</t>
  </si>
  <si>
    <t xml:space="preserve">Перчатки (варежки) </t>
  </si>
  <si>
    <t>пара</t>
  </si>
  <si>
    <t>Костюм лыжный</t>
  </si>
  <si>
    <t>Костюм спортивный, кеды</t>
  </si>
  <si>
    <t>комп.</t>
  </si>
  <si>
    <t>Свитер (джемпер, толстовка)</t>
  </si>
  <si>
    <t>Брюки, джинсы для мальчика</t>
  </si>
  <si>
    <t>Рубашка для мальчика</t>
  </si>
  <si>
    <t>Шорты</t>
  </si>
  <si>
    <t>Футболка (водолазка) для мальчика</t>
  </si>
  <si>
    <t xml:space="preserve">Головной убор зимний </t>
  </si>
  <si>
    <t xml:space="preserve">Головной убор демисезонный </t>
  </si>
  <si>
    <t>Зимняя утепленная обувь</t>
  </si>
  <si>
    <t xml:space="preserve">Демисезонная обувь </t>
  </si>
  <si>
    <t>Летняя обувь</t>
  </si>
  <si>
    <t xml:space="preserve">Обмундирование для девочек </t>
  </si>
  <si>
    <t>Перчатки (варежки)</t>
  </si>
  <si>
    <t xml:space="preserve">Свитер (джемпер, толстовка) </t>
  </si>
  <si>
    <t>Брюки, джинсы для девочки</t>
  </si>
  <si>
    <t>Рейтузы (легинсы, бриджи) для девочки</t>
  </si>
  <si>
    <t>Платье (юбка, блузка)</t>
  </si>
  <si>
    <t>Футболка (водолазка, топик) для девочки</t>
  </si>
  <si>
    <t>Головной убор демисезонный</t>
  </si>
  <si>
    <r>
      <rPr>
        <b/>
        <sz val="12"/>
        <color indexed="8"/>
        <rFont val="Times New Roman"/>
        <family val="1"/>
        <charset val="204"/>
      </rPr>
      <t>Хвалынская Е. В.</t>
    </r>
    <r>
      <rPr>
        <sz val="12"/>
        <color indexed="8"/>
        <rFont val="Times New Roman"/>
        <family val="1"/>
        <charset val="204"/>
      </rPr>
      <t xml:space="preserve"> 
Начальник финансового отдела по исполнению бюджета учреждений образования</t>
    </r>
  </si>
  <si>
    <r>
      <rPr>
        <b/>
        <sz val="12"/>
        <color indexed="8"/>
        <rFont val="Times New Roman"/>
        <family val="1"/>
        <charset val="204"/>
      </rPr>
      <t>Сатырева Е.Г.</t>
    </r>
    <r>
      <rPr>
        <sz val="12"/>
        <color indexed="8"/>
        <rFont val="Times New Roman"/>
        <family val="1"/>
        <charset val="204"/>
      </rPr>
      <t xml:space="preserve">
Начальник планово-экономического отдела учреждений общего образования</t>
    </r>
  </si>
  <si>
    <t>Гуща Светлана Николаевна , ведущий экономист , 8 (39161) 2-60-18</t>
  </si>
  <si>
    <t xml:space="preserve">Государственная пошлина </t>
  </si>
  <si>
    <t xml:space="preserve">Субсидии на иные цели,всего                                                                                                       </t>
  </si>
  <si>
    <t xml:space="preserve">Субсидии на иные цели , всего                                                                                       </t>
  </si>
  <si>
    <r>
      <t xml:space="preserve">4.2. балансовая   стоимость   имущества,   приобретенного  учреждением  за  счет
выделенных   собственником   имущества   учреждения   средств,   составляет
</t>
    </r>
    <r>
      <rPr>
        <u/>
        <sz val="12"/>
        <rFont val="Times New Roman"/>
        <family val="1"/>
        <charset val="204"/>
      </rPr>
      <t xml:space="preserve">5 336 172,97 </t>
    </r>
    <r>
      <rPr>
        <sz val="12"/>
        <rFont val="Times New Roman"/>
        <family val="1"/>
        <charset val="204"/>
      </rPr>
      <t xml:space="preserve">руб.
</t>
    </r>
  </si>
  <si>
    <t>шт.</t>
  </si>
  <si>
    <t xml:space="preserve">Учреждение:   КГБОУ "Тинская школа-интернат" </t>
  </si>
  <si>
    <t>1</t>
  </si>
  <si>
    <t>0000</t>
  </si>
  <si>
    <t>0000000000</t>
  </si>
  <si>
    <t>240</t>
  </si>
  <si>
    <t>340</t>
  </si>
  <si>
    <t>Z8210</t>
  </si>
  <si>
    <t xml:space="preserve">Увеличение стоимости материальных запасов </t>
  </si>
  <si>
    <t xml:space="preserve">1. Расчет поступления доходов от предпринимательской деятельности и платных услуг в 2017 году </t>
  </si>
  <si>
    <t xml:space="preserve">от сдачи металлолома </t>
  </si>
  <si>
    <t xml:space="preserve">тонн </t>
  </si>
  <si>
    <t>наименование дохода 1</t>
  </si>
  <si>
    <t>уменьшение стоимости материальных запасов</t>
  </si>
  <si>
    <t xml:space="preserve">Приносящая доход деятельность                ( собственные доходы учреждения ) </t>
  </si>
  <si>
    <t>07550000000000000</t>
  </si>
  <si>
    <t>075.50.000000000000</t>
  </si>
  <si>
    <r>
      <rPr>
        <b/>
        <sz val="12"/>
        <rFont val="Arial"/>
        <family val="2"/>
        <charset val="204"/>
      </rPr>
      <t>УМЕНЬШИТЬ</t>
    </r>
    <r>
      <rPr>
        <sz val="12"/>
        <rFont val="Arial"/>
        <family val="2"/>
        <charset val="204"/>
      </rPr>
      <t xml:space="preserve"> бюджетные ассигнования по КОСГУ  213 "Начисления на выплаты по оплате труда"  </t>
    </r>
  </si>
  <si>
    <t>месяц</t>
  </si>
  <si>
    <t>ФЗП для исчисления страховых взносов в размере 30,2%, руб.</t>
  </si>
  <si>
    <t>План страховых взносов в размере 30,2%, руб.</t>
  </si>
  <si>
    <t>Факт страховых взносов в размере 30,2%, руб.</t>
  </si>
  <si>
    <t>Отклонение: экономия+,  перерасход-, руб.</t>
  </si>
  <si>
    <t xml:space="preserve">211 для обложения </t>
  </si>
  <si>
    <t>откл</t>
  </si>
  <si>
    <t>б/лист + мат пом</t>
  </si>
  <si>
    <t xml:space="preserve">сокращ </t>
  </si>
  <si>
    <t xml:space="preserve">Январь </t>
  </si>
  <si>
    <t xml:space="preserve">ИТОГО зарплата </t>
  </si>
  <si>
    <t xml:space="preserve">выходное пособие  по сокращению штатов                      ( КОСГУ 211) </t>
  </si>
  <si>
    <t>ВСЕГО</t>
  </si>
  <si>
    <t>ИТОГО сумма экономии сложившаяся при выплате пособия за первые три дня временной нетрудоспособности  за счет средств работодателя и выходного пособия по сокращению штатов  по КОСГУ 211</t>
  </si>
  <si>
    <t>КОСГУ 211</t>
  </si>
  <si>
    <t>КОСГУ 213</t>
  </si>
  <si>
    <t>заявлено в передвижку для выплаты пособия по сокращению штата  на КОСГУ 262</t>
  </si>
  <si>
    <t xml:space="preserve">Итого </t>
  </si>
  <si>
    <t>Фактически начислено ФЗП за 9 месяцев 2013г, руб.</t>
  </si>
  <si>
    <t>Ожидаемое начисление</t>
  </si>
  <si>
    <t xml:space="preserve">Предельная величина базы для начисления страховых взносов
</t>
  </si>
  <si>
    <t>Сумма дохода страховые взносы не взимаются.</t>
  </si>
  <si>
    <t>Экономия в части начисления страховых взносов на обязательное социальное страхование, руб.</t>
  </si>
  <si>
    <t>октябрь, руб.</t>
  </si>
  <si>
    <t>ноябрь, руб.</t>
  </si>
  <si>
    <t>декабрь, руб.</t>
  </si>
  <si>
    <t>Итого ФЗП за  2013 г, руб.</t>
  </si>
  <si>
    <t xml:space="preserve">заместитель директора по воспитальной работе </t>
  </si>
  <si>
    <t>ИТОГО</t>
  </si>
  <si>
    <t xml:space="preserve">ВСЕГО сумма к уменьшению  по КОСГУ 213 </t>
  </si>
  <si>
    <t>исполнитель: Гуща С.Н. тел. (39161) 26016</t>
  </si>
  <si>
    <t>КГБОУ "Тинская  общеобразовательная  школа "</t>
  </si>
  <si>
    <t>Бюджетные ассигнования на 23.11.2017</t>
  </si>
  <si>
    <t>заявлено в передвижку для перераспределения на КОСГУ 226</t>
  </si>
  <si>
    <t>Страховые взносы в Пенсионный фонд Российской Федерации по ставке 22%</t>
  </si>
  <si>
    <t>Субсидии на выполнение государственного задания</t>
  </si>
  <si>
    <t>07 00</t>
  </si>
  <si>
    <t>Образование</t>
  </si>
  <si>
    <t>Общее образование</t>
  </si>
  <si>
    <t>Обеспечение деятельности (оказание услуг) подведомственных учреждений в рамках подпрограммы «Развитие дошкольного, общего и дополнительного образования детей» государственной программы Красноярского края «Развитие образования»</t>
  </si>
  <si>
    <t>Субсидии бюджетным учреждениям на финансовое обеспечение государственного (муниципального) задания на оказание государственных (муниципальных) услуг (выполнение работ)</t>
  </si>
  <si>
    <t>111</t>
  </si>
  <si>
    <t>Фонд оплаты труда учреждений</t>
  </si>
  <si>
    <t>211</t>
  </si>
  <si>
    <t>Заработная плата</t>
  </si>
  <si>
    <t>119</t>
  </si>
  <si>
    <t>Взносы по обязательному социальному страхованию на выплаты по оплате труда работников и иные выплаты работникам учреждений</t>
  </si>
  <si>
    <t>213</t>
  </si>
  <si>
    <t>Начисления на выплаты по оплате труда</t>
  </si>
  <si>
    <t>112</t>
  </si>
  <si>
    <t>Иные выплаты персоналу учреждений, за исключением фонда оплаты труда</t>
  </si>
  <si>
    <t>212</t>
  </si>
  <si>
    <t>Прочие выплаты</t>
  </si>
  <si>
    <t>226</t>
  </si>
  <si>
    <t>12</t>
  </si>
  <si>
    <t>13</t>
  </si>
  <si>
    <t>Субсидии бюджетным учреждениям на иные цели</t>
  </si>
  <si>
    <t>14</t>
  </si>
  <si>
    <t>15</t>
  </si>
  <si>
    <t>07521022000061001</t>
  </si>
  <si>
    <t>Субсидии на иные цели</t>
  </si>
  <si>
    <t>310</t>
  </si>
  <si>
    <t>07523022000061001</t>
  </si>
  <si>
    <t>16</t>
  </si>
  <si>
    <t>02200R0270</t>
  </si>
  <si>
    <t>Реализация мероприятий в сфере обеспечения доступности приоритетных объектов и услуг в приоритетных сферах жизнедеятельности инвалидов и других маломобильных групп населения в рамках подпрограммы «Развитие дошкольного, общего и дополнительного образования» государственной программы Красноярского края «Развитие образования»</t>
  </si>
  <si>
    <t>17</t>
  </si>
  <si>
    <t>0752102200R027001</t>
  </si>
  <si>
    <t>18</t>
  </si>
  <si>
    <t>24</t>
  </si>
  <si>
    <t>225</t>
  </si>
  <si>
    <t>25</t>
  </si>
  <si>
    <t>19</t>
  </si>
  <si>
    <t>27</t>
  </si>
  <si>
    <t>20</t>
  </si>
  <si>
    <t>0752202200R027001</t>
  </si>
  <si>
    <t>21</t>
  </si>
  <si>
    <t>243</t>
  </si>
  <si>
    <t>Закупка товаров, работ, услуг в целях капитального ремонта государственного имущества, из них</t>
  </si>
  <si>
    <t>22</t>
  </si>
  <si>
    <t>31</t>
  </si>
  <si>
    <t>32</t>
  </si>
  <si>
    <t>33</t>
  </si>
  <si>
    <t>23</t>
  </si>
  <si>
    <t>0752302200R027001</t>
  </si>
  <si>
    <t>36</t>
  </si>
  <si>
    <t>38</t>
  </si>
  <si>
    <t>26</t>
  </si>
  <si>
    <t>Денежная компенсация взамен бесплатного горячего питания обучающимся с ограниченными возможностями здоровья в краевых государственных общеобразовательных организациях в рамках подпрограммы «Развитие дошкольного, общего и дополнительного образования детей» государственной программы Красноярского края «Развитие образования»</t>
  </si>
  <si>
    <t>Пособия, компенсации и иные социальные выплаты гражданам, кроме публичных нормативных обязательств</t>
  </si>
  <si>
    <t>Социальное обеспечение, всего</t>
  </si>
  <si>
    <t>- за переоформление документа подтверждающего наличие лицензии, и (или) приложения к такому документу в связи с внесением дополнений в сведения об адресах мест осуществления лицензируемого вида деятельности, о выполняемых работах и об оказываемых услугах в составе лицензируемого вида деятельности, в том числе о реализуемых образовательных программах                                                                                  (ст.333.33.,п.92 п/п 2. НК РФ)</t>
  </si>
  <si>
    <t xml:space="preserve">С.Н. Гуща </t>
  </si>
  <si>
    <r>
      <t xml:space="preserve">Код вида расходов </t>
    </r>
    <r>
      <rPr>
        <b/>
        <sz val="12"/>
        <rFont val="Times New Roman"/>
        <family val="1"/>
        <charset val="204"/>
      </rPr>
      <t xml:space="preserve"> 852 Уплата прочих налогов, сборов</t>
    </r>
  </si>
  <si>
    <r>
      <t xml:space="preserve">4. Общая  балансовая  стоимость  недвижимого  государственного  имущества
составляет </t>
    </r>
    <r>
      <rPr>
        <u/>
        <sz val="12"/>
        <rFont val="Times New Roman"/>
        <family val="1"/>
        <charset val="204"/>
      </rPr>
      <t xml:space="preserve">   5 336 172,97   </t>
    </r>
    <r>
      <rPr>
        <sz val="12"/>
        <rFont val="Times New Roman"/>
        <family val="1"/>
        <charset val="204"/>
      </rPr>
      <t xml:space="preserve"> руб., в том числе:
</t>
    </r>
  </si>
  <si>
    <r>
      <t xml:space="preserve">4.1. балансовая  стоимость  имущества,  закрепленного собственником имущества за учреждением     на     праве     оперативного     управления,    составляет    </t>
    </r>
    <r>
      <rPr>
        <u/>
        <sz val="12"/>
        <rFont val="Times New Roman"/>
        <family val="1"/>
        <charset val="204"/>
      </rPr>
      <t>5 336 172,97</t>
    </r>
    <r>
      <rPr>
        <sz val="12"/>
        <rFont val="Times New Roman"/>
        <family val="1"/>
        <charset val="204"/>
      </rPr>
      <t xml:space="preserve"> руб.
</t>
    </r>
  </si>
  <si>
    <t xml:space="preserve">4.3. балансовая стоимость имущества, приобретенного учреждением за счет доходов,
полученных    от    иной    приносящей   доход   деятельности,   составляет
_______0,00_____________ руб.
</t>
  </si>
  <si>
    <r>
      <t xml:space="preserve">5.   Общая   балансовая   стоимость  движимого  государственного  имущества составляет   </t>
    </r>
    <r>
      <rPr>
        <u/>
        <sz val="12"/>
        <rFont val="Times New Roman"/>
        <family val="1"/>
        <charset val="204"/>
      </rPr>
      <t xml:space="preserve">                        7 075 181,65   </t>
    </r>
    <r>
      <rPr>
        <sz val="12"/>
        <rFont val="Times New Roman"/>
        <family val="1"/>
        <charset val="204"/>
      </rPr>
      <t xml:space="preserve"> руб., в том числе:</t>
    </r>
  </si>
  <si>
    <r>
      <t xml:space="preserve">5.1. балансовая   стоимость   особо   ценного   движимого  имущества  составляет
</t>
    </r>
    <r>
      <rPr>
        <u/>
        <sz val="12"/>
        <rFont val="Times New Roman"/>
        <family val="1"/>
        <charset val="204"/>
      </rPr>
      <t xml:space="preserve">   2 470 381,66    </t>
    </r>
    <r>
      <rPr>
        <sz val="12"/>
        <rFont val="Times New Roman"/>
        <family val="1"/>
        <charset val="204"/>
      </rPr>
      <t xml:space="preserve"> руб.
</t>
    </r>
  </si>
  <si>
    <t>Расчеты (обоснования) к плану финансово-хозяйственной деятельности государственного учреждения</t>
  </si>
  <si>
    <t>Код видов расходов</t>
  </si>
  <si>
    <t xml:space="preserve">Источник финансового обеспечения </t>
  </si>
  <si>
    <t>№ 
п/п</t>
  </si>
  <si>
    <t>Виды дохода</t>
  </si>
  <si>
    <t>Ед.изм.</t>
  </si>
  <si>
    <t>Объем оказания услуги</t>
  </si>
  <si>
    <t>Стоимость, руб.</t>
  </si>
  <si>
    <t>Сумма в год, руб.</t>
  </si>
  <si>
    <t>Доходы от оказания платных услуг, работ</t>
  </si>
  <si>
    <t>Суммы принудительного изъятия</t>
  </si>
  <si>
    <t>Прочие доходы</t>
  </si>
  <si>
    <t>Вид расхода</t>
  </si>
  <si>
    <t xml:space="preserve">Доходы от собственности </t>
  </si>
  <si>
    <t>Уменьшение стоимости материальных запасов</t>
  </si>
  <si>
    <t>№ п/п</t>
  </si>
  <si>
    <t>наименование</t>
  </si>
  <si>
    <t>код</t>
  </si>
  <si>
    <t>2</t>
  </si>
  <si>
    <t>3</t>
  </si>
  <si>
    <t>4</t>
  </si>
  <si>
    <t>2.1. Расчеты (обоснования) расходов на оплату труда</t>
  </si>
  <si>
    <t xml:space="preserve">2.2. Расчеты (обоснования) фонда оплаты труда  </t>
  </si>
  <si>
    <t>ФОТ педагогических работников:</t>
  </si>
  <si>
    <t>руб.</t>
  </si>
  <si>
    <t>ФОТ в месяц (сумма окладов)</t>
  </si>
  <si>
    <t>ФОТ в месяц (за работу в условиях, отклоняющихся от нормальных)</t>
  </si>
  <si>
    <t>ФОТ в месяц с учетом районного коэффициента, надбавки за стаж работы в районах Крайнего Севера и приравненных к ним областях __%</t>
  </si>
  <si>
    <t>ФЗП в месяц:</t>
  </si>
  <si>
    <t>Фонд стимулирующих выплат в месяц:</t>
  </si>
  <si>
    <t>Всего ФЗП в месяц:</t>
  </si>
  <si>
    <t>Всего ФЗП педагогических работников в год:</t>
  </si>
  <si>
    <t>ФОТ медицинских работников (врачи):</t>
  </si>
  <si>
    <t>Всего ФЗП медицинских работников (врачи) в год:</t>
  </si>
  <si>
    <t>ФОТ среднего медицинского персонала:</t>
  </si>
  <si>
    <t>Всего ФЗП среднего медицинского персонала в год:</t>
  </si>
  <si>
    <t>ФОТ младшего медицинского персонала:</t>
  </si>
  <si>
    <t>Всего ФЗП младшего медицинского персонала в год:</t>
  </si>
  <si>
    <t>ФОТ прочих работников:</t>
  </si>
  <si>
    <t>Всего ФЗП прочих работников в год:</t>
  </si>
  <si>
    <t>Наименование государственного внебюджетного фонда</t>
  </si>
  <si>
    <t>Размер базы 
для начисления страховых взносов, руб.</t>
  </si>
  <si>
    <t>Страховые взносы в Фонд социального страхования Российской Федерации, всего</t>
  </si>
  <si>
    <t>в том числе:</t>
  </si>
  <si>
    <t>х</t>
  </si>
  <si>
    <t>Наименование расходов</t>
  </si>
  <si>
    <t>Количество платежей в год</t>
  </si>
  <si>
    <t>Стоимость за единицу, руб.</t>
  </si>
  <si>
    <t>Наименование показателя</t>
  </si>
  <si>
    <t>Размер потребления ресурсов</t>
  </si>
  <si>
    <t>Тариф 
(с учетом НДС), руб.</t>
  </si>
  <si>
    <t>Индексация, 
%</t>
  </si>
  <si>
    <t>Сумма, руб. 
(гр. 4 x гр. 5 x 
гр. 6)</t>
  </si>
  <si>
    <t>Ед. изм.</t>
  </si>
  <si>
    <t>Количество</t>
  </si>
  <si>
    <t>Стоимость 
с учетом НДС, 
руб.</t>
  </si>
  <si>
    <t>Средняя стоимость, руб.</t>
  </si>
  <si>
    <t>в том числе с истекшим сроком полезного использования</t>
  </si>
  <si>
    <t>Сумма, руб. 
(гр. 6 x гр. 7)</t>
  </si>
  <si>
    <t>Имеется транспорт в наличии 
(указать марку, год ввода в эксплуатацию)</t>
  </si>
  <si>
    <t>Планируемое приобретение</t>
  </si>
  <si>
    <t>стоимость, руб.</t>
  </si>
  <si>
    <t xml:space="preserve">Дневное отделение </t>
  </si>
  <si>
    <t>Всего дети-сироты на полном гособеспечении для расчета ПНО</t>
  </si>
  <si>
    <t>Обучающиеся (без учета детей -сирот, детей с огр. возм. здоровья)</t>
  </si>
  <si>
    <t>Дети-сироты</t>
  </si>
  <si>
    <t>Дети с ограниченными возможностями здоровья (студенты)</t>
  </si>
  <si>
    <t xml:space="preserve">Всего </t>
  </si>
  <si>
    <t>из них дети-сироты</t>
  </si>
  <si>
    <t>Пособия по социальной помощи населению</t>
  </si>
  <si>
    <t>0220016130</t>
  </si>
  <si>
    <t>321</t>
  </si>
  <si>
    <t>262</t>
  </si>
  <si>
    <t>Профилактический прием (осмотр, консультация) врача-дерматовенеролога</t>
  </si>
  <si>
    <t>услуга</t>
  </si>
  <si>
    <t>Проведение периодического осмотра врачом стоматологом</t>
  </si>
  <si>
    <t>Прием (осмотр, консультация) врача психиатра</t>
  </si>
  <si>
    <t>Прием (осмотр, консультация) врача психиатра - нарколога</t>
  </si>
  <si>
    <t>Профилактический прием (осмотр, консультация) врача-оториноларинголога</t>
  </si>
  <si>
    <t>Исследования уровня глюкозы в крови</t>
  </si>
  <si>
    <t>Исследование уровня холестерина в крови</t>
  </si>
  <si>
    <t>Микроскопическое исследование влагалищных мазков</t>
  </si>
  <si>
    <t>Профилактический прием (осмотр, консультация) врача-невролога</t>
  </si>
  <si>
    <t>Профилактический прием (осмотр, консультация) врача-офтальмолога</t>
  </si>
  <si>
    <t>Профилактический прием (осмотр, консультация) врача-хирурга</t>
  </si>
  <si>
    <t>Плата за доступ к краевой системе мониторинга ГЛОНАСС</t>
  </si>
  <si>
    <t>Приобретение аттестационно-бланочной продукции</t>
  </si>
  <si>
    <t>Обучение по программе техминимума по правилам дорожного движения</t>
  </si>
  <si>
    <t>Подписка на периодические издания</t>
  </si>
  <si>
    <t>Услуги реагирования на тревожный сигнал (тревожной кнопки)</t>
  </si>
  <si>
    <t xml:space="preserve">Услуги  по проведению обязательного предрейсового и послерейсового медицинского осмотра водителей </t>
  </si>
  <si>
    <t>59 руб.* 2 чел. * 2 раза * 136 дней</t>
  </si>
  <si>
    <t>В.П. Сурова</t>
  </si>
  <si>
    <t>УАЗ 3962</t>
  </si>
  <si>
    <t>наличие прицепа</t>
  </si>
  <si>
    <t>ГАЗ 3221</t>
  </si>
  <si>
    <t>ГАЗ 3502</t>
  </si>
  <si>
    <t>450,00 руб.*2 чел.</t>
  </si>
  <si>
    <t>323 руб.*8 шт.</t>
  </si>
  <si>
    <t>7,08 руб.* 24 час. * 365 дн.</t>
  </si>
  <si>
    <t>2450 руб.*12 мес.</t>
  </si>
  <si>
    <t>ПАЗ 32053-70</t>
  </si>
  <si>
    <t>Профилактический прием ( осмотр , консультация)  врача-терапевта</t>
  </si>
  <si>
    <t>Профилактический прием ( осмотр , консультация) врача-акушера-гинеколога</t>
  </si>
  <si>
    <t>Доврачебный профилактический осмотр ( фельдшерский прием)</t>
  </si>
  <si>
    <t xml:space="preserve">Цитологическое исследование мазка из женских половых органов на атипические клетки ( первая категория сложности) </t>
  </si>
  <si>
    <t xml:space="preserve">Артериально-стимулированный венозный забор крови </t>
  </si>
  <si>
    <t>Раздел</t>
  </si>
  <si>
    <t>Подраздел</t>
  </si>
  <si>
    <t>целевая статья расходов</t>
  </si>
  <si>
    <t>вид расходов</t>
  </si>
  <si>
    <t>Наименование показателей</t>
  </si>
  <si>
    <t xml:space="preserve">Сумма изменений </t>
  </si>
  <si>
    <t>6</t>
  </si>
  <si>
    <t>7</t>
  </si>
  <si>
    <t>9</t>
  </si>
  <si>
    <t>0702</t>
  </si>
  <si>
    <t>0220000610</t>
  </si>
  <si>
    <t>0220000611</t>
  </si>
  <si>
    <t>07510000000000000</t>
  </si>
  <si>
    <t>244</t>
  </si>
  <si>
    <t>8</t>
  </si>
  <si>
    <t>10</t>
  </si>
  <si>
    <t xml:space="preserve">2. Расчеты (обоснования) выплат персоналу </t>
  </si>
  <si>
    <t>3. Расчет (обоснование) расходов на закупку товаров, работ, услуг</t>
  </si>
  <si>
    <t>3.2. Расчет (обоснование) расходов на оплату транспортных услуг</t>
  </si>
  <si>
    <t>2.3. Расчет (обоснование) выплат персоналу при направлении в служебные командировки,
разъезды, курсы по повышению квалификации, семинары и т.п.</t>
  </si>
  <si>
    <t>3.1. Расчет (обоснование) расходов на оплату услуг связи</t>
  </si>
  <si>
    <t>3.3. Расчет (обоснование) расходов на оплату коммунальных услуг</t>
  </si>
  <si>
    <t>3.4. Расчет (обоснование) расходов на оплату аренды имущества</t>
  </si>
  <si>
    <t>3.5. Расчет (обоснование) расходов на оплату работ (услуг) по содержанию имущества</t>
  </si>
  <si>
    <t>3.6. Расчет (обоснование) расходов на выполнение работ, оказание услуг</t>
  </si>
  <si>
    <t>3.7. Расчет (обоснование) расходов на приобретение полисов обязательного страхования гражданской ответственности владельцев транспортных средств</t>
  </si>
  <si>
    <t xml:space="preserve">4. Расчет (обоснование) расходов на уплату налогов, сборов и иных платежей
</t>
  </si>
  <si>
    <t>8. Расчет (обоснование) расходов субсидии на иные цели</t>
  </si>
  <si>
    <t>Стоимость питания 1 воспитаника в день, руб.</t>
  </si>
  <si>
    <t>Итого страховая премия, руб.</t>
  </si>
  <si>
    <t>Итого расходов, руб. (гр.9 + гр.10 + гр.11)</t>
  </si>
  <si>
    <t>Сумма, руб. (гр.4 x гр.5)</t>
  </si>
  <si>
    <t>Сумма, руб. 
(гр.4 x гр.5 x 
гр.6)</t>
  </si>
  <si>
    <t>Сумма, руб. (гр.4 х гр.5)</t>
  </si>
  <si>
    <t xml:space="preserve">Общий (клинический) анализ крови </t>
  </si>
  <si>
    <t>Анализ мочи общий</t>
  </si>
  <si>
    <t>Рентгенография легких</t>
  </si>
  <si>
    <t>Перчатки мужские</t>
  </si>
  <si>
    <t>Джемпер для мальчиков не менее 50% шерсти</t>
  </si>
  <si>
    <t>Рубашка для мальчиков</t>
  </si>
  <si>
    <t>Шорты детские для мальчиков</t>
  </si>
  <si>
    <t>Футболка х/б для мальчика</t>
  </si>
  <si>
    <t>Ботинки зимние для мальчиков</t>
  </si>
  <si>
    <t>Туфли мужские летние</t>
  </si>
  <si>
    <t>Перчатки женские</t>
  </si>
  <si>
    <t>Джемпер для девочек не менее 50% шерсти</t>
  </si>
  <si>
    <t>Ботинки зимние для девочек</t>
  </si>
  <si>
    <t>Шорты детские для девочек</t>
  </si>
  <si>
    <t>Футболка х/б для девочек</t>
  </si>
  <si>
    <t>Ботинки зимние для девочек,</t>
  </si>
  <si>
    <t>Туфли женские летние (балетки),</t>
  </si>
  <si>
    <t>Пряжа и нити текстильные</t>
  </si>
  <si>
    <t>Приобретение швейной фурнитуры - ст.14 ФЗ44</t>
  </si>
  <si>
    <t>4156.00/4156.00</t>
  </si>
  <si>
    <t>Планируемый срок (сроки отдельных этапов) поставки товаров (выполнения работ, оказания услуг): по заявке Заказчика</t>
  </si>
  <si>
    <t>Бисер в ассортименте</t>
  </si>
  <si>
    <t>Функциональные, технические, качественные, эксплуатационные характеристики: Цвет: Белый, голубой, зеленый, желтый. Форма: Круглая и продолговатая</t>
  </si>
  <si>
    <t>Молния-липучка ,</t>
  </si>
  <si>
    <t>Функциональные, технические, качественные, эксплуатационные характеристики: цвет - черный, белый, 20мм*25м</t>
  </si>
  <si>
    <t>Набор иголок машинных</t>
  </si>
  <si>
    <t>Набор</t>
  </si>
  <si>
    <t>Функциональные, технические, качественные, эксплуатационные характеристики: №10</t>
  </si>
  <si>
    <t>Набор иголок ручных</t>
  </si>
  <si>
    <t>Функциональные, технические, качественные, эксплуатационные характеристики: №3</t>
  </si>
  <si>
    <t>Функциональные, технические, качественные, эксплуатационные характеристики: Разных цветов</t>
  </si>
  <si>
    <t>Условная катушка</t>
  </si>
  <si>
    <t>Функциональные, технические, качественные, эксплуатационные характеристики: Нитки х/б</t>
  </si>
  <si>
    <t>Нитки канцелярские</t>
  </si>
  <si>
    <t>Функциональные, технические, качественные, эксплуатационные характеристики: Нитки канцелярские</t>
  </si>
  <si>
    <t>Метр</t>
  </si>
  <si>
    <t>Функциональные, технические, качественные, эксплуатационные характеристики: Цвет: Черный, белый</t>
  </si>
  <si>
    <t>Функциональные, технические, качественные, эксплуатационные характеристики: Тесьма для отделки костюмов</t>
  </si>
  <si>
    <t>Изделия пластмассовые прочие</t>
  </si>
  <si>
    <t>Покупка изделий хозяйственно - бытового назначения ст.14 ФЗ - 44</t>
  </si>
  <si>
    <t>21938.00/21938.00</t>
  </si>
  <si>
    <t>Планируемый срок (сроки отдельных этапов) поставки товаров (выполнения работ, оказания услуг): по Заявке заказчика</t>
  </si>
  <si>
    <t>Ведро эмалированное</t>
  </si>
  <si>
    <t>Ведро пластмассовое вместимостью 12 л,</t>
  </si>
  <si>
    <t>Мешок для мусора</t>
  </si>
  <si>
    <t>Веник сорго.</t>
  </si>
  <si>
    <t>Грабли веерные</t>
  </si>
  <si>
    <t>Грабли витые</t>
  </si>
  <si>
    <t>Корзина для мусора</t>
  </si>
  <si>
    <t>Доска гладильная</t>
  </si>
  <si>
    <t>Лопата совковая</t>
  </si>
  <si>
    <t>Лопата</t>
  </si>
  <si>
    <t>Материалы лакокрасочные и аналогичные для нанесения покрытий, полиграфические краски и мастики</t>
  </si>
  <si>
    <t>Поставка строительных материалов ст.14 ФЗ44</t>
  </si>
  <si>
    <t>37160.00/37160.00</t>
  </si>
  <si>
    <t>Эмаль желтая</t>
  </si>
  <si>
    <t>Эмаль серая</t>
  </si>
  <si>
    <t>Функциональные, технические, качественные, эксплуатационные характеристики: Толщина 4 ММ</t>
  </si>
  <si>
    <t>Эмаль синяя</t>
  </si>
  <si>
    <t>Эмаль зеленая</t>
  </si>
  <si>
    <t>Эмаль коричневая</t>
  </si>
  <si>
    <t>Эмаль белая</t>
  </si>
  <si>
    <t>Бланки личных документов строгого учета</t>
  </si>
  <si>
    <t>Приобретение классных журналов</t>
  </si>
  <si>
    <t>Классный журнал</t>
  </si>
  <si>
    <t>Канцелярские товары</t>
  </si>
  <si>
    <t>Поставка канцелярский товаров ст. 14, 44- ФЗ</t>
  </si>
  <si>
    <t>Планируемый срок (сроки отдельных этапов) поставки товаров (выполнения работ, оказания услуг): по Заявке Заказчика</t>
  </si>
  <si>
    <t>Фломастеры</t>
  </si>
  <si>
    <t>Функциональные, технические, качественные, эксплуатационные характеристики: 18 цветов</t>
  </si>
  <si>
    <t>Бумага для офисного оборудования и множительной техники</t>
  </si>
  <si>
    <t>Функциональные, технические, качественные, эксплуатационные характеристики: Формат А4, 500л/пач</t>
  </si>
  <si>
    <t>Акварель 10 цв.</t>
  </si>
  <si>
    <t>Антистеплер</t>
  </si>
  <si>
    <t>Функциональные, технические, качественные, эксплуатационные характеристики: Упаковка картон</t>
  </si>
  <si>
    <t>Блокнот</t>
  </si>
  <si>
    <t>Функциональные, технические, качественные, эксплуатационные характеристики: Формат А4</t>
  </si>
  <si>
    <t>Бумага Horax</t>
  </si>
  <si>
    <t>Ватман А2</t>
  </si>
  <si>
    <t>Ватман А3</t>
  </si>
  <si>
    <t>Зажим 15 мм</t>
  </si>
  <si>
    <t>Упаковка</t>
  </si>
  <si>
    <t>Зажим 19 мм</t>
  </si>
  <si>
    <t>Карандаш простой</t>
  </si>
  <si>
    <t>Клей карандаш</t>
  </si>
  <si>
    <t>Кнопки гвозди</t>
  </si>
  <si>
    <t>Линейка 16 см</t>
  </si>
  <si>
    <t>Мел белый</t>
  </si>
  <si>
    <t>Функциональные, технические, качественные, эксплуатационные характеристики: 100 шт</t>
  </si>
  <si>
    <t>Мел цветной</t>
  </si>
  <si>
    <t>Функциональные, технические, качественные, эксплуатационные характеристики: 6 шт</t>
  </si>
  <si>
    <t>Набор кистей 3 шт</t>
  </si>
  <si>
    <t>Функциональные, технические, качественные, эксплуатационные характеристики: Формат А1</t>
  </si>
  <si>
    <t>Набор стикеров</t>
  </si>
  <si>
    <t>Ножницы</t>
  </si>
  <si>
    <t>Функциональные, технические, качественные, эксплуатационные характеристики: Вес нетто 20 гр</t>
  </si>
  <si>
    <t>Папка конверт</t>
  </si>
  <si>
    <t>Функциональные, технические, качественные, эксплуатационные характеристики: Цвет желтый</t>
  </si>
  <si>
    <t>Папка портфель</t>
  </si>
  <si>
    <t>Функциональные, технические, качественные, эксплуатационные характеристики: желтая</t>
  </si>
  <si>
    <t>Папка регистратор</t>
  </si>
  <si>
    <r>
      <t xml:space="preserve">Показатели выплат по расходам на закупку товаров, работ, услуг краевого государственного  учреждения на </t>
    </r>
    <r>
      <rPr>
        <b/>
        <u/>
        <sz val="12"/>
        <rFont val="Times New Roman"/>
        <family val="1"/>
        <charset val="204"/>
      </rPr>
      <t>29.12. 2017г.</t>
    </r>
  </si>
  <si>
    <t xml:space="preserve">Сведения о средствах, поступающих во временное
распоряжение краевого государственного учреждения
на 29.12. 2017г.
</t>
  </si>
  <si>
    <t>Справочная информация на 29.12.2017г.</t>
  </si>
  <si>
    <t>Норма расхода на 100 км, л</t>
  </si>
  <si>
    <t>Расход в зимний период (5,5 мес.), л</t>
  </si>
  <si>
    <t>Расход в летний период (6,5 мес.), л</t>
  </si>
  <si>
    <t>Всего в год по расчету, л</t>
  </si>
  <si>
    <t>Итого в год, л</t>
  </si>
  <si>
    <t>Цена за 1 л, руб.</t>
  </si>
  <si>
    <t>Расчет расходов на приобретение смазочных материалов:</t>
  </si>
  <si>
    <t>Кол-во бензина, л</t>
  </si>
  <si>
    <t>Норма расхода на 100 л бензина, л</t>
  </si>
  <si>
    <t>Расход в год, л</t>
  </si>
  <si>
    <t>моторные масла</t>
  </si>
  <si>
    <t>трансмиссионные масла</t>
  </si>
  <si>
    <t>специальные жидкости</t>
  </si>
  <si>
    <t>пластичные смазки</t>
  </si>
  <si>
    <t>Основание (пункт типовых отраслевых норм, приказов, постановлений)</t>
  </si>
  <si>
    <t>Профессия или должность</t>
  </si>
  <si>
    <t>Норма на 1 работника, шт.</t>
  </si>
  <si>
    <t>Кол-во персонала, чел.</t>
  </si>
  <si>
    <t>Имеется в наличии, шт</t>
  </si>
  <si>
    <t>Итого</t>
  </si>
  <si>
    <t>Наименование мягкого инвентаря, оборудования</t>
  </si>
  <si>
    <t>Приобретение подарочной и сувенирной продукции</t>
  </si>
  <si>
    <t>Расходы на питание, проживание и проезд студентов при их направлении на мероприятия</t>
  </si>
  <si>
    <t>Марка, модель транспортного средства</t>
  </si>
  <si>
    <t>Базовая ставка в рублях</t>
  </si>
  <si>
    <t>Корректирующие коэффициенты</t>
  </si>
  <si>
    <t>территории преимущ. использования/место регистрации ТС</t>
  </si>
  <si>
    <t>отсутствие, наличие страховых выплат</t>
  </si>
  <si>
    <t>неограниченное использование ТС</t>
  </si>
  <si>
    <t>мощности легкового автомобиля</t>
  </si>
  <si>
    <t>ИТОГО:</t>
  </si>
  <si>
    <t>Наименование медицинских услуг</t>
  </si>
  <si>
    <t>Цена ед. услуги, руб.</t>
  </si>
  <si>
    <t>Наименование услуги</t>
  </si>
  <si>
    <t>Стоимость 1 путевки, руб.</t>
  </si>
  <si>
    <t>Количество человек, ед.</t>
  </si>
  <si>
    <t>Количество сезонов</t>
  </si>
  <si>
    <t>Пересменка, руб.</t>
  </si>
  <si>
    <t>Кол-во всего</t>
  </si>
  <si>
    <t>Кол-во по классам (курсам обучения)</t>
  </si>
  <si>
    <t>ФИО</t>
  </si>
  <si>
    <t>должность</t>
  </si>
  <si>
    <t xml:space="preserve">маршрут  </t>
  </si>
  <si>
    <t xml:space="preserve">Расходы на проезд работника и членов его семьи, руб.
</t>
  </si>
  <si>
    <t>Расходы на провоз багажа, руб.</t>
  </si>
  <si>
    <t>вид транспорта</t>
  </si>
  <si>
    <t>Количество человек</t>
  </si>
  <si>
    <t>Стоимость проезда (туда-обратно), руб.</t>
  </si>
  <si>
    <t>сотрудник</t>
  </si>
  <si>
    <t>иждивенец до 12 лет</t>
  </si>
  <si>
    <t>иждивенец с 12 лет</t>
  </si>
  <si>
    <t>В будние дни:</t>
  </si>
  <si>
    <t>Количество воспитанников, переданных в семьи граждан, чел.</t>
  </si>
  <si>
    <t>Количество дней пребывания ребенка (детей) в семье гражданина</t>
  </si>
  <si>
    <t>Размер денежных средств на приобретение продуктов питания в будние дни, руб.</t>
  </si>
  <si>
    <t>В летний оздоровительный период, воскресные, праздничные и каникулярные дни:</t>
  </si>
  <si>
    <t>Размер денежных средств на приобретение продуктов питания в воскресные, праздничные и каникулярные дни, руб.:</t>
  </si>
  <si>
    <t>Корректирующей коэффициент, учитывающего географическое положение муниципального образования:</t>
  </si>
  <si>
    <t>Всего:</t>
  </si>
  <si>
    <t>Денежные средства на личные расходы  детям-сиротам и детям, оставшимся без попечения родителей:</t>
  </si>
  <si>
    <t xml:space="preserve">возраст с   7 до 14 лет:  </t>
  </si>
  <si>
    <t>чел.</t>
  </si>
  <si>
    <t>мес.</t>
  </si>
  <si>
    <t xml:space="preserve">возраст с 14 до 23 лет: </t>
  </si>
  <si>
    <t>Возрастная категория</t>
  </si>
  <si>
    <t>Численность обучающихся, чел</t>
  </si>
  <si>
    <t>Размер денежной компенсации взамен бесплатного горячего завтрака и горячего обеда на одного обучающегося в день, руб.</t>
  </si>
  <si>
    <t>Количество дней обучения</t>
  </si>
  <si>
    <t>Итого, руб.</t>
  </si>
  <si>
    <t>6-11 лет</t>
  </si>
  <si>
    <t>12-18 лет</t>
  </si>
  <si>
    <t>Каникулярных, воскресных и праздничных дней - 152 дня (примерно)</t>
  </si>
  <si>
    <t>36 учебных недель в среднем</t>
  </si>
  <si>
    <t>52 недели - 36 недель = 16 недель * 7 дней = 112 дней каникулярных</t>
  </si>
  <si>
    <t>в 36 учебных неделях - 36 воскресений</t>
  </si>
  <si>
    <t>праздничные дни вне каникул - 23 февраля, 8 марта, 1 и 9 мая, остальные праздничные дни совпадают с каникулами</t>
  </si>
  <si>
    <t>каникулы: примерно 90 дней - лето, 01.01 - 14.01, 24.03 - 01.04, 03.11 - 10.11</t>
  </si>
  <si>
    <t>итого: 112 + 36 + 4 = 152 дня</t>
  </si>
  <si>
    <t>годы</t>
  </si>
  <si>
    <t>Среднее число дней пребывания одного воспитанника в год</t>
  </si>
  <si>
    <t>Среднегодовое количество детей</t>
  </si>
  <si>
    <t>12 мес.</t>
  </si>
  <si>
    <t>Количество дето-дней всего</t>
  </si>
  <si>
    <t>Количество дето-дней нахождения в оздоровительном лагере</t>
  </si>
  <si>
    <t>1=2-3-4</t>
  </si>
  <si>
    <t>Количество дето-дней в воскресные, каникулярные и праздничные дни всего:</t>
  </si>
  <si>
    <t>Сумма на год, руб.</t>
  </si>
  <si>
    <t>Время учебы</t>
  </si>
  <si>
    <t>в т.ч. воскресные, каникулярные и праздничные дни</t>
  </si>
  <si>
    <t>Код субсидии</t>
  </si>
  <si>
    <t xml:space="preserve">о внесении изменений в план финансово-хозяйственной деятельности </t>
  </si>
  <si>
    <t xml:space="preserve">Согласно письму от </t>
  </si>
  <si>
    <t>Единица измерения: руб.</t>
  </si>
  <si>
    <t>КВФО</t>
  </si>
  <si>
    <t xml:space="preserve">САНТЕХНИЧЕСКИЕ ИЗДЕЛИЯ                 </t>
  </si>
  <si>
    <t>Диазолин, држ 50мг №10</t>
  </si>
  <si>
    <t>Адреналин, р-р д/инъ 1мг/мл амп 1мл №5</t>
  </si>
  <si>
    <t>уп.</t>
  </si>
  <si>
    <t>Альмагель А,сусп.фл. 170 мл</t>
  </si>
  <si>
    <t>Амоксицелин, таб. 250 мг № 20</t>
  </si>
  <si>
    <t>Анальгин, таб 500 мг № 10</t>
  </si>
  <si>
    <t>Аскорбиновая к-та с глюкозой,таб.,10 мг</t>
  </si>
  <si>
    <t>Аскорбиновая к-та држ 50 мг № 200</t>
  </si>
  <si>
    <t>Атицилсолициловая к-та, таб. 500мг</t>
  </si>
  <si>
    <t>Брилианотовый зеленый р-р/спирт 1% фл.</t>
  </si>
  <si>
    <t>Бромгексин-Акрихин, таб 4 мг №50</t>
  </si>
  <si>
    <t>Валериана экстракт, таб. п/о 20мг № 10</t>
  </si>
  <si>
    <t>Веда 2, шампунь 100 мл</t>
  </si>
  <si>
    <t>Грамицидин С, таб 1,5мг № 20</t>
  </si>
  <si>
    <t>Димедрол, р-р д/инъ 10 мг/мл №10</t>
  </si>
  <si>
    <t xml:space="preserve"> Дротавирин,  таб 40мг № 50</t>
  </si>
  <si>
    <t>Йод р-р/спирт 5% фл.10 мл</t>
  </si>
  <si>
    <t>Йодомарин 100, таб. 0.1 мг №100</t>
  </si>
  <si>
    <t>Йодомарин 200, таб. 0.2 мг №100</t>
  </si>
  <si>
    <t>Калия пермангант, пор 15 г</t>
  </si>
  <si>
    <t>Каметон, аэр 30 г</t>
  </si>
  <si>
    <t>Левомеколь, мазь 40 г</t>
  </si>
  <si>
    <t>Лоперамид, таб 2 мг № 20</t>
  </si>
  <si>
    <t>Мукалтин, таб 50 мг № 10</t>
  </si>
  <si>
    <t>Натрия хлорид р-ль д/приг р-ра д/инъ 0,9%</t>
  </si>
  <si>
    <t>Натрия хлорид р-р д/приг р-ра д/инф 0,9% фл</t>
  </si>
  <si>
    <t>Но-шпа, таб 40 мг № 100</t>
  </si>
  <si>
    <t>Парацетамол, таб 500 мг № 10</t>
  </si>
  <si>
    <t>Перекись водорода, р-р 3% фл. 100 мл</t>
  </si>
  <si>
    <t>Преднизол, р-р д/инъ 30мг/мл амп 1 мл</t>
  </si>
  <si>
    <t>Ревит, држ №100</t>
  </si>
  <si>
    <t>педагогическим работникам за индивидуальное обучение на дому обучающихся,
 , руб.</t>
  </si>
  <si>
    <t>водителям легковых автомобилей за ненормированный рабочий день  , руб.</t>
  </si>
  <si>
    <t>Прочие комп.выплаты, руб.</t>
  </si>
  <si>
    <t>с 1,6</t>
  </si>
  <si>
    <t>стим+перс</t>
  </si>
  <si>
    <t>итого</t>
  </si>
  <si>
    <t>доплата</t>
  </si>
  <si>
    <t xml:space="preserve">с учетом ставок </t>
  </si>
  <si>
    <t>Заместитель директора по учебной работе</t>
  </si>
  <si>
    <t>Заместитель директора по административно - хозяйственной работе</t>
  </si>
  <si>
    <t>Шеф-повар</t>
  </si>
  <si>
    <t>Учитель</t>
  </si>
  <si>
    <t>Учитель - логопед</t>
  </si>
  <si>
    <t xml:space="preserve">Учитель - дефектолог </t>
  </si>
  <si>
    <t>Воспитатель</t>
  </si>
  <si>
    <t>Социальный педагог</t>
  </si>
  <si>
    <t>Педагог - организатор</t>
  </si>
  <si>
    <t>Педагог - психолог</t>
  </si>
  <si>
    <t xml:space="preserve">Педагог - библиотекарь </t>
  </si>
  <si>
    <t>Врач - педиатр</t>
  </si>
  <si>
    <t xml:space="preserve">Медицинская сестра </t>
  </si>
  <si>
    <t>Медицинская сестра диетическая</t>
  </si>
  <si>
    <t>Секретарь-машинистка</t>
  </si>
  <si>
    <t>Инспектор по кадрам</t>
  </si>
  <si>
    <t>Программист</t>
  </si>
  <si>
    <t>Повар</t>
  </si>
  <si>
    <t>Кухонный рабочий</t>
  </si>
  <si>
    <t>Мойщик посуды</t>
  </si>
  <si>
    <t>Кладовщик</t>
  </si>
  <si>
    <t>Кастелянша</t>
  </si>
  <si>
    <t>Сторож</t>
  </si>
  <si>
    <t>Машинист по стирке и ремонту спецодежды</t>
  </si>
  <si>
    <t>Младший воспитатель</t>
  </si>
  <si>
    <t>Рабочий по комплексному обслуживанию и ремонту зданий</t>
  </si>
  <si>
    <t>Слесарь-электрик по ремонту электрооборудования</t>
  </si>
  <si>
    <t xml:space="preserve">Водитель автомобиля </t>
  </si>
  <si>
    <t>Дворник</t>
  </si>
  <si>
    <t>Всего заработная плата в месяц:</t>
  </si>
  <si>
    <t>+60%:</t>
  </si>
  <si>
    <t>ФЗП с 01.01.2018 по 31.12.2018:</t>
  </si>
  <si>
    <t>Фонд стимулирующих выплат с 01.01.2018 по 31.12.2018:</t>
  </si>
  <si>
    <t>Всего ФЗП с 01.01.2018 по 31.12.2018:</t>
  </si>
  <si>
    <t>Всего ФЗП с 01.09.2017 по 30.11.2017:</t>
  </si>
  <si>
    <t>Фонд стимулирующих выплат  с 01.12.2017 по 31.12.2017:</t>
  </si>
  <si>
    <t>Всего ФЗП с 01.12.2017 по 31.12.2017:</t>
  </si>
  <si>
    <t>Итого фонд стимулирующих выплат работников в год:</t>
  </si>
  <si>
    <t>за счет К пов 35 %+ повыш окладов</t>
  </si>
  <si>
    <t>с 01.10.2017</t>
  </si>
  <si>
    <t xml:space="preserve">по основной должности </t>
  </si>
  <si>
    <t>% с 01.01.2017</t>
  </si>
  <si>
    <t>ФЗП с 01.09.2017 по 31.12.2017:</t>
  </si>
  <si>
    <t>Код вида расходов</t>
  </si>
  <si>
    <t>8.1. Расчет (обоснование) расходов на оплату стоимости проезда и провоза багажа к месту использования отпуска и обратно
для лиц, работающих в районах Крайнего Севера и приравненным к ним местностям</t>
  </si>
  <si>
    <t>8.2. Расчет (обоснование) расходов, связанных с переездом из районах Крайнего Севера и приравненным к ним местностям</t>
  </si>
  <si>
    <t>Расчет расходов на производственное обучение и производственную практику</t>
  </si>
  <si>
    <t>Количество часов вождения на одного учащегося</t>
  </si>
  <si>
    <t xml:space="preserve">Количество учащихся </t>
  </si>
  <si>
    <t>Расход топлива на 1 час (литры)</t>
  </si>
  <si>
    <t>Итого в год, л            (гр.6 х гр.7)</t>
  </si>
  <si>
    <t>2.4. Расчеты (обоснования) выплат персоналу по уходу за ребенком</t>
  </si>
  <si>
    <t>Наименование 
расходов</t>
  </si>
  <si>
    <t>Численность работников, получающих пособие</t>
  </si>
  <si>
    <t>Количество выплат в год на одного работника</t>
  </si>
  <si>
    <t>Размер 
выплаты 
(пособия) 
в месяц, руб.</t>
  </si>
  <si>
    <t>Сумма, руб. 
(гр. 3 x гр. 4 x 
гр. 5)</t>
  </si>
  <si>
    <t>2.5. Расчеты (обоснования) страховых взносов на обязательное страхование в Пенсионный фонд Российской Федерации, в Фонд социального страхования Российской Федерации, в Федеральный фонд обязательного медицинского страхования</t>
  </si>
  <si>
    <t>Период</t>
  </si>
  <si>
    <t>Электроэнергия</t>
  </si>
  <si>
    <t>Теплоэнергия</t>
  </si>
  <si>
    <t>Итого теплоэнергия, руб.</t>
  </si>
  <si>
    <t>Вода</t>
  </si>
  <si>
    <t>Стоки</t>
  </si>
  <si>
    <t>Итого вода, стоки, руб.</t>
  </si>
  <si>
    <t>по нерегулируемым ценам</t>
  </si>
  <si>
    <t>по регулируемым ценам</t>
  </si>
  <si>
    <t>Хим очистка гор вода</t>
  </si>
  <si>
    <t>Водоотведение</t>
  </si>
  <si>
    <t>Очистка сточных вод</t>
  </si>
  <si>
    <t>Объём, кВтч</t>
  </si>
  <si>
    <t>Тариф с НДС, руб.</t>
  </si>
  <si>
    <t>Тариф с НДС руб.</t>
  </si>
  <si>
    <t>Объём, Гкал</t>
  </si>
  <si>
    <t>Объём, м3</t>
  </si>
  <si>
    <t>Январь</t>
  </si>
  <si>
    <t>Февраль</t>
  </si>
  <si>
    <t>Март</t>
  </si>
  <si>
    <t>Апрель</t>
  </si>
  <si>
    <t>Май</t>
  </si>
  <si>
    <t>Июнь</t>
  </si>
  <si>
    <t>Июль</t>
  </si>
  <si>
    <t>Август</t>
  </si>
  <si>
    <t>Сентябрь</t>
  </si>
  <si>
    <t>Октябрь</t>
  </si>
  <si>
    <t>Ноябрь</t>
  </si>
  <si>
    <t>Декабрь</t>
  </si>
  <si>
    <t>Метод расчета, расчет</t>
  </si>
  <si>
    <t>Количество основных средств в наличии</t>
  </si>
  <si>
    <t>3.11. Расчет (обоснование) расходов по оплате договоров на приобретение горюче-смазочных материалов</t>
  </si>
  <si>
    <t>3.12. Расчет (обоснование) расходов на приобретение мягкого инвентаря и оборудования для общежития</t>
  </si>
  <si>
    <t xml:space="preserve">3.13 Расчет (обоснование) расходов на обеспечение одеждой, обувью, мягким инвентарем и оборудованием </t>
  </si>
  <si>
    <t xml:space="preserve">3.14. Расчет (обоснование) расходов на приобретение специальной одежды и специальной обуви </t>
  </si>
  <si>
    <t>3.15. Расчет (обоснование) расходов на приобретение материальных запасов для учебных целей обучающихся</t>
  </si>
  <si>
    <t>3.16. Расчет (обоснование) расходов на приобретение продуктов питания</t>
  </si>
  <si>
    <t>8.3. Расчет (обоснование) расходов на приобретение основных средств</t>
  </si>
  <si>
    <t>8.3.1. Расчет (обоснование) расходов на приобретение учебной литературы для библиотечного фонда</t>
  </si>
  <si>
    <t>Сумма, всего руб. (в том числе в разрезе филиалов)</t>
  </si>
  <si>
    <t>учащиеся из семей со среднедушевым доходом ниже величины прожиточного минимума, установленной в районах Красноярского края на душу населения, обучающиеся по программам начального профессионального образования 
 (без числа детей-сирот)</t>
  </si>
  <si>
    <t>учащиеся относящиеся к категории детей с ограниченными возможностями здоровья, обучающиеся по программам профессиональной подготовки (без числа детей-сирот)</t>
  </si>
  <si>
    <t>Итого питание учащихся (без числа детей-сирот)</t>
  </si>
  <si>
    <t xml:space="preserve">Количество дней питания в год </t>
  </si>
  <si>
    <t>Всего в год</t>
  </si>
  <si>
    <t>8.4. Расчет (обоснование) расходов на обеспечение бесплатным горячим питанием студентов, слушателей краевых государственных профессиональных организаций</t>
  </si>
  <si>
    <t xml:space="preserve">10. Расчет (обоснование) расходов на приобретение путевок в детские оздоровительные лагеря
</t>
  </si>
  <si>
    <t>11. Расчет (обоснование) расходов на капитальные вложения</t>
  </si>
  <si>
    <t>8.5. Расчет (обоснование) расходов на стипендию студентам 
(в том числе в разрезе филиалов)</t>
  </si>
  <si>
    <t>Материальная поддержка</t>
  </si>
  <si>
    <t>Годовой пробег (фактически за отчетный год), км, моточасы</t>
  </si>
  <si>
    <t>Марка транспортного средства</t>
  </si>
  <si>
    <t>8.3.2. Расчет (обоснование) расходов на приобретение автотранпорта</t>
  </si>
  <si>
    <t xml:space="preserve">Сумма, руб. </t>
  </si>
  <si>
    <t>Код по классификации
расходов бюджета</t>
  </si>
  <si>
    <t>Стоимость питания 1 воспитаника в день:</t>
  </si>
  <si>
    <t>Наименование подраздела</t>
  </si>
  <si>
    <t>Наименование ЦСР</t>
  </si>
  <si>
    <t>Наименование кода субсидии</t>
  </si>
  <si>
    <t>Количество детей-сирот</t>
  </si>
  <si>
    <t>Количество дней</t>
  </si>
  <si>
    <t>Количество студентов, слушателей</t>
  </si>
  <si>
    <t>Количество мес.</t>
  </si>
  <si>
    <t>Количество слушателей</t>
  </si>
  <si>
    <t xml:space="preserve">9.2. Расчет (обоснование) денежной компенсации взамен одежды, обуви обучающимся краевых государственных профессиональных образовательных организаций – детям-сиротам и детям, оставшимся без попечения родителей, лицам из числа детей-сирот и детей, оставшихся без попечения родителей, находящимся на полном государственном обеспечении в указанных организациях 
(в том числе в разрезе филиалов) </t>
  </si>
  <si>
    <t>9.3. Расчет (обоснование) денежной компенсации взамен приобретения одежды, обуви, мягкого инвентаря и оборудования и единовременное денежное пособие выпускникам краевых государственных профессиональных образовательных организаций, обучавшимся по основным образовательным программам за счет средств краевого бюджета, - детям-сиротам и детям, оставшимся без попечения родителей, лицам из числа детей-сирот и детей, оставшихся без попечения родителей, за исключением лиц, продолжающих обучение по основным образовательным программам по очной форме за счет средств краевого бюджета</t>
  </si>
  <si>
    <t>Единовременное пособие</t>
  </si>
  <si>
    <t>9.1. Расчет (обоснование) выплаты ежегодного пособия на приобретение учебной литературы и письменных принадлежностей детям-сиротам и детям, оставшимся без попечения родителей, лицам из числа детей-сирот и детей, оставшихся без попечения родителей, обучающимся в краевых государственных профессиональных образовательных организациях 
(в том числе в разрезе филиалов)</t>
  </si>
  <si>
    <t>Расходы на бесплатный проезд на городском, пригородном, в сельской местности на внутрирайонном транспорте (кроме такси)</t>
  </si>
  <si>
    <t xml:space="preserve">Расходы на бесплатный проезд один раз в год к месту жительства и обратно к месту учебы </t>
  </si>
  <si>
    <t xml:space="preserve">9.6. Расчет (обоснование) расходов на обеспечение бесплатным проездом детей-сирот и детей, оставшихся без попечения родителей, лиц из числа детей-сирот и детей, оставшихся без попечения родителей, обучающихся за счет средств краевого бюджета или местных бюджетов по основным образовательным программам, на городском, пригородном, в сельской местности на внутрирайонном транспорте (кроме такси), а также бесплатным проездом один раз в год к месту жительства и обратно к месту учебы </t>
  </si>
  <si>
    <t>9.7. Расчет (обоснование) расходов на оплату проезда к месту жительства и обратно к месту учебы студентам и слушателям из семей со среднедушевым доходом ниже величины прожиточного минимума, установленного для соответствующей группы территорий края на душу населения, обучающимся в профессиональных образовательных организациях и образовательных организациях высшего образования, расположенных на территории муниципального района, а также за пределами муниципального района</t>
  </si>
  <si>
    <t>9.8. Расчет (обоснование) выплаты денежной компенсации взамен одежды, обуви студентам, слушателям с ограниченными возможностями здоровья, проживающим в краевых государственных профессиональных образовательных организациях</t>
  </si>
  <si>
    <r>
      <t>В том числе воскресные, каникулярные и праздничные дни</t>
    </r>
    <r>
      <rPr>
        <sz val="12"/>
        <rFont val="Times New Roman"/>
        <family val="1"/>
        <charset val="204"/>
      </rPr>
      <t xml:space="preserve">                                                                                     Число дето-дней: С чел. * Х день = </t>
    </r>
  </si>
  <si>
    <r>
      <t xml:space="preserve"> в т.ч. количество дето-дней в патронатных семьях - всего</t>
    </r>
    <r>
      <rPr>
        <sz val="12"/>
        <rFont val="Times New Roman"/>
        <family val="1"/>
        <charset val="204"/>
      </rPr>
      <t xml:space="preserve">: </t>
    </r>
  </si>
  <si>
    <r>
      <t>в том числе воскресные, каникулярные и праздничные дни в патронатных семьях:</t>
    </r>
    <r>
      <rPr>
        <sz val="12"/>
        <rFont val="Times New Roman"/>
        <family val="1"/>
        <charset val="204"/>
      </rPr>
      <t xml:space="preserve">                                             </t>
    </r>
  </si>
  <si>
    <r>
      <t>в т.ч. количество дето-дней нахождения в оздоровительном лагере</t>
    </r>
    <r>
      <rPr>
        <sz val="12"/>
        <rFont val="Times New Roman"/>
        <family val="1"/>
        <charset val="204"/>
      </rPr>
      <t>: С чел. * Х день =        чел.*     дня=</t>
    </r>
  </si>
  <si>
    <r>
      <t xml:space="preserve">Количество дето-дней, принимаемых к расчету питания </t>
    </r>
    <r>
      <rPr>
        <i/>
        <sz val="12"/>
        <rFont val="Times New Roman"/>
        <family val="1"/>
        <charset val="204"/>
      </rPr>
      <t>(время учебы)</t>
    </r>
  </si>
  <si>
    <t xml:space="preserve">Количество дето-дней в патронатных семьях </t>
  </si>
  <si>
    <r>
      <t xml:space="preserve">Количество дето-дней принимаемых к расчету питания    </t>
    </r>
    <r>
      <rPr>
        <i/>
        <sz val="12"/>
        <rFont val="Times New Roman"/>
        <family val="1"/>
        <charset val="204"/>
      </rPr>
      <t>( воскресные, каникулярные и праздничные дни)</t>
    </r>
  </si>
  <si>
    <t xml:space="preserve">Количество дето-дней в воскресные, каникулярные и праздничные дни  в патронатных семьях </t>
  </si>
  <si>
    <t>_______________</t>
  </si>
  <si>
    <t>Экономист</t>
  </si>
  <si>
    <t xml:space="preserve">для обучающихся, воспитанников с ограниченными возможностями здоровья ( приходящие  )11-18 лет </t>
  </si>
  <si>
    <t xml:space="preserve">для обучающихся, воспитанников с ограниченными возможностями здоровья ( интернированные ) 7-10 лет </t>
  </si>
  <si>
    <t xml:space="preserve">для обучающихся, воспитанников с ограниченными возможностями здоровья ( интернированные ) 11-18 лет </t>
  </si>
  <si>
    <t>где: А - кол-во детей на 1 января 2018 г.</t>
  </si>
  <si>
    <t>Б - кол-во детей на 1 сентября 2018 г.</t>
  </si>
  <si>
    <t>Среднегодовое количество детей на 2018г., чел.</t>
  </si>
  <si>
    <t>Кол-во дней функционирования в 2018г.</t>
  </si>
  <si>
    <t>Плановая стоимость питания 1 ребенка в день на 2018г., руб.</t>
  </si>
  <si>
    <t>Количество дето-дней в 2018г.</t>
  </si>
  <si>
    <r>
      <t xml:space="preserve">Источник финансового обеспечения: </t>
    </r>
    <r>
      <rPr>
        <b/>
        <sz val="12"/>
        <color indexed="8"/>
        <rFont val="Times New Roman"/>
        <family val="1"/>
        <charset val="204"/>
      </rPr>
      <t>4  субсидии на выполнение государственного  задания</t>
    </r>
  </si>
  <si>
    <r>
      <rPr>
        <sz val="12"/>
        <color indexed="12"/>
        <rFont val="Times New Roman"/>
        <family val="1"/>
        <charset val="204"/>
      </rPr>
      <t xml:space="preserve">Приходящие </t>
    </r>
    <r>
      <rPr>
        <sz val="12"/>
        <color indexed="8"/>
        <rFont val="Times New Roman"/>
        <family val="1"/>
        <charset val="204"/>
      </rPr>
      <t>(полупансион), в т.ч.:</t>
    </r>
  </si>
  <si>
    <r>
      <rPr>
        <sz val="12"/>
        <color indexed="12"/>
        <rFont val="Times New Roman"/>
        <family val="1"/>
        <charset val="204"/>
      </rPr>
      <t>Проживающие в интернате</t>
    </r>
    <r>
      <rPr>
        <sz val="12"/>
        <color indexed="8"/>
        <rFont val="Times New Roman"/>
        <family val="1"/>
        <charset val="204"/>
      </rPr>
      <t>, в т.ч.:</t>
    </r>
  </si>
  <si>
    <t>С.Н. Гуща</t>
  </si>
  <si>
    <t>Стол ученический 2-местный регулируемый гр. 2-4,4-6</t>
  </si>
  <si>
    <t>Стул ученический</t>
  </si>
  <si>
    <r>
      <t xml:space="preserve">Источник финансового обеспечения </t>
    </r>
    <r>
      <rPr>
        <b/>
        <sz val="12"/>
        <color indexed="8"/>
        <rFont val="Times New Roman"/>
        <family val="1"/>
        <charset val="204"/>
      </rPr>
      <t>5 Субсидии на иные цели</t>
    </r>
  </si>
  <si>
    <t>Объем бюджетных инвестиций (в части переданных полномочий государственного (муниципального) заказчика в соответствии с Бюджетным кодексом Российской Федерации), всего:</t>
  </si>
  <si>
    <t>Объем средств, поступивших во временное распоряжение, всего:</t>
  </si>
  <si>
    <t xml:space="preserve">Исполнитель                                                           </t>
  </si>
  <si>
    <t>(подпись)  (расшифровка подписи)</t>
  </si>
  <si>
    <t>Таблица № 5</t>
  </si>
  <si>
    <t>Таблица № 6</t>
  </si>
  <si>
    <t>Таблица № 7</t>
  </si>
  <si>
    <t>Таблица № 8</t>
  </si>
  <si>
    <t>Таблица № 9</t>
  </si>
  <si>
    <t>Таблица № 10</t>
  </si>
  <si>
    <t>Таблица № 11</t>
  </si>
  <si>
    <t>Ставка 
арендной 
платы, руб.</t>
  </si>
  <si>
    <t>Кол-во объектов аренды, ед.
/ арендуемая площадь, кв.м</t>
  </si>
  <si>
    <t xml:space="preserve">5. Расчет (обоснование) прочих расходов
</t>
  </si>
  <si>
    <t>Дебиторская задолженность</t>
  </si>
  <si>
    <t>4.1</t>
  </si>
  <si>
    <t>4.2</t>
  </si>
  <si>
    <t>Сумма, 
руб.</t>
  </si>
  <si>
    <t>Кредиторская задолженность</t>
  </si>
  <si>
    <t>7. Расчёт среднегодового контингента учащихся, проживающих в общежитии</t>
  </si>
  <si>
    <t xml:space="preserve">6. Расчёт среднегодового контингента учащихся </t>
  </si>
  <si>
    <t>Обучающиеся (без учета детей-сирот, детей с ограниченными возможностями здоровья )</t>
  </si>
  <si>
    <t>3=4+5+7</t>
  </si>
  <si>
    <t>5.1</t>
  </si>
  <si>
    <t>5.2</t>
  </si>
  <si>
    <t>5.3</t>
  </si>
  <si>
    <t>5.4</t>
  </si>
  <si>
    <t>5.5</t>
  </si>
  <si>
    <t>5.6</t>
  </si>
  <si>
    <t>Расходы на приобретение полисов обязательного страхования гражданской ответственности владельцев транспортных средств</t>
  </si>
  <si>
    <t>3.8. Расчет ( обоснование) расходов на проведение медицинских осмотров работников и обучающихся</t>
  </si>
  <si>
    <t>Расходы на проведение медицинских осмотров работников и обучающихся</t>
  </si>
  <si>
    <t xml:space="preserve">3.3.1. Анализ коммунальных услуг </t>
  </si>
  <si>
    <t>Сумма,руб.</t>
  </si>
  <si>
    <t>Денежная компенсация взамен одежды, обуви, бесплатного питания обучающимся краевых государственных профессиональных образовательных организаций – детям-сиротам и детям, оставшимся без попечения родителей, лицам из числа детей-сирот и детей, оставшихся без попечения родителей, находящимся на полном государственном обеспечении в указанных организациях</t>
  </si>
  <si>
    <t>одежда, обувь</t>
  </si>
  <si>
    <t>питание</t>
  </si>
  <si>
    <t>Денежная компенсация взамен приобретения одежды, обуви, мягкого инвентаря и оборудования и единовременное денежное пособие выпускникам краевых государственных профессиональных образовательных организаций, обучавшимся по основным образовательным программам за счет средств краевого бюджета, - детям-сиротам и детям, оставшимся без попечения родителей, лицам из числа детей-сирот и детей, оставшихся без попечения родителей, за исключением лиц, продолжающих обучение по основным образовательным программам по очной форме за счет средств краевого бюджета</t>
  </si>
  <si>
    <t>одежда, обувь, мягкий инвентарь</t>
  </si>
  <si>
    <t>единовременное пособие</t>
  </si>
  <si>
    <t>Одежда,обувь</t>
  </si>
  <si>
    <t>5</t>
  </si>
  <si>
    <t>Обеспечение бесплатным проездом детей-сирот и детей, оставшихся без попечения родителей, лиц из числа детей-сирот и детей, оставшихся без попечения родителей, обучающихся за счет средств краевого бюджета или местных бюджетов по основным образовательным программам, на городском, пригородном, в сельской местности на внутрирайонном транспорте (кроме такси), а также бесплатным проездом один раз в год к месту жительства и обратно к месту учебы</t>
  </si>
  <si>
    <t>Оплата проезда к месту жительства и обратно к месту учебы студентам и слушателям из семей со среднедушевым доходом ниже величины прожиточного минимума, установленного для соответствующей группы территорий края на душу населения, обучающимся в профессиональных образовательных организациях и образовательных организациях высшего образования, расположенных на территории муниципального района, а также за пределами муниципального района</t>
  </si>
  <si>
    <t>Денежная компенсация взамен одежды, обуви, бесплатного питания студентам, слушателям с ограниченными возможностями здоровья, проживающим в краевых государственных профессиональных образовательных организациях</t>
  </si>
  <si>
    <t>Ежемесячная денежная выплата слушателям с ограниченными возможностями здоровья из семей со среднедушевым доходом ниже величины прожиточного минимума, установленной в районах Красноярского края на душу населения, слушателям, являющимся детьми-сиротами и детьми, оставшимися без попечения родителей, лицами из числа детей-сирот и детей, оставшихся без попечения родителей, осваивающим программы профессионального обучения в краевых государственных профессиональных образовательных организациях, и ежемесячное денежное поощрение за успехи в обучении слушателям с ограниченными возможностями здоровья, слушателям, являющимся детьми-сиротами и детьми, оставшимися без попечения родителей, лицами из числа детей-сирот и детей, оставшихся без попечения родителей</t>
  </si>
  <si>
    <t>9. Свод расчетов по публичным обязательствам, расходов на обеспечение бесплатным горячим питанием студентов, слушателей, денежную компенсацию взамен бесплатного горячего питания студентам, слушателям, имеющим право на обеспечение бесплатным горячим питанием, при прохождении учебной или производственной практики в организациях или наличии хронических заболеваний, при которых по медицинским показаниям требуется специальное (диетическое) питание</t>
  </si>
  <si>
    <t>Денежная компенсация детям-сиротам и детям, оставшимся без попечения родителей, находящимся на полном государственном обеспечении в краевых государственных и муниципальных организациях для детей-сирот и детей, оставшихся без попечения родителей, за исключением лиц, помещенных под надзор в медицинские организации, организации, оказывающие социальные услуги, а также лиц, обучающихся в профессиональных образовательных организациях, по окончании срока пребывания взамен обеспечения одеждой и обувью, мягким инвентарем и оборудованием и единовременное денежное пособие в размере величины прожиточного минимума</t>
  </si>
  <si>
    <t>Одежда,обувь, мягкий инвентарь и оборудование</t>
  </si>
  <si>
    <t>одежда, обувь, мягкий инвентарь и оборудование</t>
  </si>
  <si>
    <t>Ежемесячное обеспечение денежными средствами на личные расходы детей-сирот и детей, оставшихся без попечения родителей, лиц из числа детей-сирот и детей, оставшихся без попечения родителей, находящихся на полном государственном обеспечении в краевых государственных и муниципальных организациях для детей-сирот и детей, оставшихся без попечения родителей, за исключением лиц, помещенных под надзор в медицинские организации, организации, оказывающие социальные услуги, и лиц, обучающихся в профессиональных образовательных организациях</t>
  </si>
  <si>
    <t>Денежная компенсация взамен бесплатного горячего питания обучающимся с ограниченными возможностями здоровья в краевых государственных общеобразовательных организациях</t>
  </si>
  <si>
    <t>Выплата денежной компенсации на приобретение продуктов питания детям-сиротам и детям, оставшимся без попечения родителей, при временной передаче в семьи граждан</t>
  </si>
  <si>
    <t>Наименование субсидии</t>
  </si>
  <si>
    <t>и т.д.</t>
  </si>
  <si>
    <t>код ПБС</t>
  </si>
  <si>
    <t>11</t>
  </si>
  <si>
    <t>УТВЕРЖДАЮ</t>
  </si>
  <si>
    <t>(подпись)</t>
  </si>
  <si>
    <t>(расшифровка подписи)</t>
  </si>
  <si>
    <t>"</t>
  </si>
  <si>
    <t xml:space="preserve"> г.</t>
  </si>
  <si>
    <t>СВЕДЕНИЯ</t>
  </si>
  <si>
    <t xml:space="preserve"> Г.</t>
  </si>
  <si>
    <t>КОДЫ</t>
  </si>
  <si>
    <t>Форма по ОКУД</t>
  </si>
  <si>
    <t>0501016</t>
  </si>
  <si>
    <t>от "</t>
  </si>
  <si>
    <t>Дата</t>
  </si>
  <si>
    <t>учреждение (подразделение)</t>
  </si>
  <si>
    <t>по ОКПО</t>
  </si>
  <si>
    <t>ИНН/КПП</t>
  </si>
  <si>
    <t>Дата представления предыдущих Сведений</t>
  </si>
  <si>
    <t>Наименование бюджета</t>
  </si>
  <si>
    <t>по ОКТМО</t>
  </si>
  <si>
    <t>Наименование органа, осуществляющего</t>
  </si>
  <si>
    <t>функции и полномочия учредителя</t>
  </si>
  <si>
    <t>Глава по БК</t>
  </si>
  <si>
    <t>ведение лицевого счета</t>
  </si>
  <si>
    <t>Единица измерения: руб. (с точностью до второго десятичного знака)</t>
  </si>
  <si>
    <t>по ОКЕИ</t>
  </si>
  <si>
    <t>по ОКВ</t>
  </si>
  <si>
    <t>(наименование иностранной валюты)</t>
  </si>
  <si>
    <t>Остаток средств на начало года</t>
  </si>
  <si>
    <t>Код
субсидии</t>
  </si>
  <si>
    <t>Код 
по бюджетной классификации Российской Федерации</t>
  </si>
  <si>
    <t>Код объекта ФАИП</t>
  </si>
  <si>
    <t>Разрешенный к использованию</t>
  </si>
  <si>
    <t>Суммы возврата дебиторской задолженности прошлых лет</t>
  </si>
  <si>
    <t>Планируемые</t>
  </si>
  <si>
    <t>остаток субсидии прошлых лет</t>
  </si>
  <si>
    <t>на начало 20</t>
  </si>
  <si>
    <t>сумма</t>
  </si>
  <si>
    <t>поступления</t>
  </si>
  <si>
    <t>выплаты</t>
  </si>
  <si>
    <t>Номер страницы</t>
  </si>
  <si>
    <t>Руководитель</t>
  </si>
  <si>
    <t>Всего страниц</t>
  </si>
  <si>
    <t>ОТМЕТКА ОРГАНА, ОСУЩЕСТВЛЯЮЩЕГО ВЕДЕНИЕ ЛИЦЕВОГО СЧЕТА,</t>
  </si>
  <si>
    <t>О ПРИНЯТИИ НАСТОЯЩИХ СВЕДЕНИЙ</t>
  </si>
  <si>
    <t>Ответственный</t>
  </si>
  <si>
    <t>исполнитель</t>
  </si>
  <si>
    <t>(должность)</t>
  </si>
  <si>
    <t>(телефон)</t>
  </si>
  <si>
    <t>СОГЛАСОВАНО</t>
  </si>
  <si>
    <t>руководитель учреждения (уполномоченное лицо) распорядителя бюджетных средств</t>
  </si>
  <si>
    <t>руководитель учреждения (уполномоченное лицо)</t>
  </si>
  <si>
    <t>(наименование  распорядителя  бюджетных средств)</t>
  </si>
  <si>
    <t xml:space="preserve">(наименование краевого государственного  бюджетного  учреждения) </t>
  </si>
  <si>
    <t>"_____"________________ 20____г.</t>
  </si>
  <si>
    <t>Форма по КФД</t>
  </si>
  <si>
    <t>"_____"___________________ 20___г.</t>
  </si>
  <si>
    <t>Наименование краевого государственного бюджетного учреждения</t>
  </si>
  <si>
    <t>Код по реестру участников бюджетного процесса, а также юридических лиц, не являющихся участниками бюджетного процесса</t>
  </si>
  <si>
    <t>Наименование органа, осуществляющего функции и полномочия учредителя</t>
  </si>
  <si>
    <t>Адрес фактического местонахождения краевого государственного бюджетного учреждения</t>
  </si>
  <si>
    <t>Необходимо приобрести
 в 2018 г.</t>
  </si>
  <si>
    <t>В т.ч. 
истекает срок в 2018 г.</t>
  </si>
  <si>
    <t>Обмундировние всего:</t>
  </si>
  <si>
    <r>
      <t xml:space="preserve">Денежная компенсация взамен бесплатного горячего питания студентам, слушателям, имеющим право на обеспечение бесплатным горячим питанием, при прохождении учебной или производственной практики в организациях или наличии хронических заболеваний, при которых по медицинским показаниям требуется специальное (диетическое) питание </t>
    </r>
    <r>
      <rPr>
        <sz val="12"/>
        <color indexed="10"/>
        <rFont val="Times New Roman"/>
        <family val="1"/>
        <charset val="204"/>
      </rPr>
      <t xml:space="preserve"> (таблица № 8.4)</t>
    </r>
  </si>
  <si>
    <r>
      <t xml:space="preserve">Приобретение путевок несовершеннолетним детям-сиротам, детям, оставшимся без попечения родителей, обучающимся в  краевых профессиональных образовательных организациях </t>
    </r>
    <r>
      <rPr>
        <sz val="12"/>
        <color indexed="10"/>
        <rFont val="Times New Roman"/>
        <family val="1"/>
        <charset val="204"/>
      </rPr>
      <t>(таблица № 10)</t>
    </r>
  </si>
  <si>
    <r>
      <t xml:space="preserve">Стипендия </t>
    </r>
    <r>
      <rPr>
        <sz val="12"/>
        <color indexed="10"/>
        <rFont val="Times New Roman"/>
        <family val="1"/>
        <charset val="204"/>
      </rPr>
      <t>(таблицы № 8.5)</t>
    </r>
  </si>
  <si>
    <t>Денежная компенсация взамен бесплатного горячего питания студентам, слушателям, имеющим право на обеспечение бесплатным горячим питанием, при прохождении учебной или производственной практики в организациях или наличии хронических заболеваний, при которых по медицинским показаниям требуется специальное (диетическое) питание</t>
  </si>
  <si>
    <t>Обеспечение бесплатным горячим питанием студентов, слушателей краевых государственных профессиональных образовательных организаций, обучающиеся за счет средств краевого бюджета</t>
  </si>
  <si>
    <t>Таблица № 9.2</t>
  </si>
  <si>
    <t>9.4.  Расчет (обоснование) выплаты денежной компенсации взамен приобретения одежды, обуви детям-сиротам и детям, оставшимся без попечения родителей, в случае приобретения ими полной дееспособности по окончании пребывания в краевых государственных и муниципальных организациях для детей-сирот и детей, оставшихся без попечения родителей, при условии продолжения обучения в профессиональных образовательных организациях , а также единовременного денежного пособия в размере величины прожиточного минимума, установленной по соответствующей группе территорий края для трудоспособного населения Правительством края за первый квартал соответствующего года</t>
  </si>
  <si>
    <t xml:space="preserve">9.5. Расчет (обоснование) выплаты денежной компенсации взамен приобретения одежды, обуви, мягкого инвентаря и оборудования детям-сиротам и детям, оставшимся без попечения родителей, в случае приобретения ими полной дееспособности по окончании пребывания в краевых государственных организациях для детей-сирот и детей, оставшихся без попечения родителей, при условии отказа от продолжения обучения в профессиональных образовательных организациях </t>
  </si>
  <si>
    <t>Таблица № 9.9.</t>
  </si>
  <si>
    <t>Таблица № 9.10</t>
  </si>
  <si>
    <t>пособия, компенсации и иные социальные выплаты гражданам, кроме публичных нормативных обязательств</t>
  </si>
  <si>
    <t>Итого электроэнергия, руб.</t>
  </si>
  <si>
    <r>
      <t xml:space="preserve">3.10. Расчет (обоснование) расходов на приобретение материальных запасов     
          </t>
    </r>
    <r>
      <rPr>
        <b/>
        <sz val="12"/>
        <color indexed="10"/>
        <rFont val="Times New Roman"/>
        <family val="1"/>
        <charset val="204"/>
      </rPr>
      <t xml:space="preserve"> </t>
    </r>
  </si>
  <si>
    <t>Государственная пошлина (указать основание согласно НК РФ)</t>
  </si>
  <si>
    <t>Количество учащихся  проживающих в общежитии (без числа детей-сирот)</t>
  </si>
  <si>
    <t>1.1</t>
  </si>
  <si>
    <t xml:space="preserve">    особо ценное движимое имущество, всего:</t>
  </si>
  <si>
    <t xml:space="preserve">    в том числе:                                                                                                                                                                                                                                                                                                                                                                   остаточная стоимость</t>
  </si>
  <si>
    <t xml:space="preserve">    непроизведенные активы</t>
  </si>
  <si>
    <t xml:space="preserve">    материальные запасы</t>
  </si>
  <si>
    <t xml:space="preserve">    вложения в нефинансовые активы</t>
  </si>
  <si>
    <t xml:space="preserve">  в особо ценное движимое имущество учреждения</t>
  </si>
  <si>
    <t>1.1.1</t>
  </si>
  <si>
    <t>1.2</t>
  </si>
  <si>
    <t>1.2.1</t>
  </si>
  <si>
    <t>1.3</t>
  </si>
  <si>
    <t>1.4</t>
  </si>
  <si>
    <t>1.5</t>
  </si>
  <si>
    <t>1.5.1</t>
  </si>
  <si>
    <t>1.5.2</t>
  </si>
  <si>
    <t>2.4</t>
  </si>
  <si>
    <t xml:space="preserve">    в том числе:                                                                                      просроченная кредиторская задолженность                                                                                                                                                                                                                                     </t>
  </si>
  <si>
    <t>3.2.1</t>
  </si>
  <si>
    <t>недвижимое имущество, всего:</t>
  </si>
  <si>
    <r>
      <t xml:space="preserve">на </t>
    </r>
    <r>
      <rPr>
        <b/>
        <sz val="12"/>
        <rFont val="Times New Roman"/>
        <family val="1"/>
        <charset val="204"/>
      </rPr>
      <t>2018</t>
    </r>
    <r>
      <rPr>
        <sz val="12"/>
        <rFont val="Times New Roman"/>
        <family val="1"/>
        <charset val="204"/>
      </rPr>
      <t xml:space="preserve"> г. очередной финансовый год</t>
    </r>
  </si>
  <si>
    <r>
      <t xml:space="preserve">на </t>
    </r>
    <r>
      <rPr>
        <b/>
        <sz val="12"/>
        <rFont val="Times New Roman"/>
        <family val="1"/>
        <charset val="204"/>
      </rPr>
      <t>2019</t>
    </r>
    <r>
      <rPr>
        <sz val="12"/>
        <rFont val="Times New Roman"/>
        <family val="1"/>
        <charset val="204"/>
      </rPr>
      <t xml:space="preserve"> г. 1-й год планового периода</t>
    </r>
  </si>
  <si>
    <r>
      <t xml:space="preserve">на </t>
    </r>
    <r>
      <rPr>
        <b/>
        <sz val="12"/>
        <rFont val="Times New Roman"/>
        <family val="1"/>
        <charset val="204"/>
      </rPr>
      <t>2020</t>
    </r>
    <r>
      <rPr>
        <sz val="12"/>
        <rFont val="Times New Roman"/>
        <family val="1"/>
        <charset val="204"/>
      </rPr>
      <t>г. 2-й год планового периода</t>
    </r>
  </si>
  <si>
    <t>Ника Неодез Средство дезинфицирующее 1л. "Геникс"</t>
  </si>
  <si>
    <t>Дез-Хлор Средство дезинфицирующее таб №300</t>
  </si>
  <si>
    <t>Дезинфицирующее средство "Ника - Экстра М" 1л</t>
  </si>
  <si>
    <t>РАСХОДНЫЕ МАТЕРИАЛЫ</t>
  </si>
  <si>
    <t>ШВЕЙНАЯ ФУРНИТУРА</t>
  </si>
  <si>
    <t>Биссер в ассортименте</t>
  </si>
  <si>
    <t>набор</t>
  </si>
  <si>
    <t>Молния липучка, цвет черный, белый, 20мм *25м</t>
  </si>
  <si>
    <t>Набор машинных игл</t>
  </si>
  <si>
    <t>Набор игл ручных</t>
  </si>
  <si>
    <t>Пуговицы пластмассовые</t>
  </si>
  <si>
    <t>Нитки х/б</t>
  </si>
  <si>
    <t>катушка</t>
  </si>
  <si>
    <t>Резинка шнуровая</t>
  </si>
  <si>
    <t>м</t>
  </si>
  <si>
    <t>Тесьма для отделки костюмов</t>
  </si>
  <si>
    <t>Ткань Бязь</t>
  </si>
  <si>
    <t>Ткань Ситец</t>
  </si>
  <si>
    <t>Ткань Атслас</t>
  </si>
  <si>
    <t>Ткань Гипюр</t>
  </si>
  <si>
    <t>Ткань Байка</t>
  </si>
  <si>
    <t>Ткань парча</t>
  </si>
  <si>
    <t>Ткань фетр</t>
  </si>
  <si>
    <t>Ткань шифон</t>
  </si>
  <si>
    <t>Предусмотрено на осуществление закупок - всего</t>
  </si>
  <si>
    <t>в том числе: закупок путем проведения запроса котировок</t>
  </si>
  <si>
    <t>Ответственный исполнитель</t>
  </si>
  <si>
    <t>СУРОВА В. П.</t>
  </si>
  <si>
    <t>«05»</t>
  </si>
  <si>
    <t>ФОРМА</t>
  </si>
  <si>
    <t>обоснования закупок товаров, работ и услуг для обеспечения государственных и муниципальных нужд</t>
  </si>
  <si>
    <t>при формировании и утверждении плана-графика закупок</t>
  </si>
  <si>
    <t>Вид документа (базовый (0), измененный (порядковый код изменения плана-графика закупок)</t>
  </si>
  <si>
    <t>изменения</t>
  </si>
  <si>
    <t>Наименование объекта закупки</t>
  </si>
  <si>
    <t>Начальная (максимальная) цена контракта, контракта заключаемого с единственным поставщиком (подрядчиком, исполнителем)</t>
  </si>
  <si>
    <t>Наименование метода определения и обоснования начальной (максимальной) цены контракта, цены контракта, заключаемого с единственным поставщиком (подрядчиком, исполнителем)</t>
  </si>
  <si>
    <t>Обоснование невозможности применения для определения и обоснования начальной (максимальной) цены контракта, цены контракта, заключаемого с единственным поставщиком (подрядчиком, исполнителем), методов, указанных в части 1 статьи 22 Федерального закона "О контрактной системе в сфере закупок товаров, работ, услуг для обеспечения государственных и муниципальных нужд" (далее - Федеральный закон), а также обоснование метода определения и обоснования начальной (максимальной) цены контракта, цены контракта, заключаемого с единственным поставщиком (подрядчиком, исполнителем), не предусмотренного частью 1 статьи 22 Федерального закона</t>
  </si>
  <si>
    <t>Обоснование начальной (максимальной) цены контракта, цены контракта, заключаемого с единственным поставщиком (подрядчиком, исполнителем) в порядке, установленном статьей 22 Федерального закона</t>
  </si>
  <si>
    <t>Обоснование выбранного способа определения поставщика (подрядчика, исполнителя)</t>
  </si>
  <si>
    <t>Обоснование дополнительных требований к участникам закупки (при наличии таких требований)</t>
  </si>
  <si>
    <t>Метод сопоставимых рыночных цен (анализа рынка)</t>
  </si>
  <si>
    <t>(380,050+403,65786+403,65786)=1186,05</t>
  </si>
  <si>
    <t>п.29 ч.1 ст.93 44 ФЗ</t>
  </si>
  <si>
    <t>(2839,6524+2839,65524+2839,65524)=8518,965</t>
  </si>
  <si>
    <t>п.1ч.8 СТ.93 44 ФЗ</t>
  </si>
  <si>
    <t>309*0,12108=37,41372</t>
  </si>
  <si>
    <t>п. 1 ч.8 ст93 44 ФЗ</t>
  </si>
  <si>
    <t>(133,54650+133,54650+133,54650)=400,638</t>
  </si>
  <si>
    <t>п.5 ст.93 44ФЗ</t>
  </si>
  <si>
    <t>(35,76816+35,76816+35,76816)=113,605</t>
  </si>
  <si>
    <t>п. 1 ч.1 ст.93 44 ФЗ</t>
  </si>
  <si>
    <t>(38,399+38,399+38,399)=115,20</t>
  </si>
  <si>
    <t>п. 5 ч.1 ст.93 44 ФЗ</t>
  </si>
  <si>
    <t>п.5 ч.1 ст.93</t>
  </si>
  <si>
    <t>(39,403+29,55+29,55)=93,503</t>
  </si>
  <si>
    <t>п.5 ч.1 ст.93 44ФЗ</t>
  </si>
  <si>
    <t>28,845+14+14=56,845</t>
  </si>
  <si>
    <t>п.5 ст.93 фз44</t>
  </si>
  <si>
    <t>(72,0+36,0+36,0)=144,00</t>
  </si>
  <si>
    <t>п.5 ст.93 ФЗ44</t>
  </si>
  <si>
    <t>п.5 ч. 1 ст93 44 ФЗ</t>
  </si>
  <si>
    <t>п.5 ч. 1 ст.93 ФЗ44</t>
  </si>
  <si>
    <t>п.5 ст.93 44 ФЗ</t>
  </si>
  <si>
    <t>44-ФЗ</t>
  </si>
  <si>
    <t>(4,8+4,8+4,8)=14,40</t>
  </si>
  <si>
    <t>(14,836+14,836+14,836)=44,508</t>
  </si>
  <si>
    <t>(28,14+28,14+28,14)=84,42</t>
  </si>
  <si>
    <t>п.5 ст.93 44 Фз</t>
  </si>
  <si>
    <t>(15,612+15,612+15,612)=46,836</t>
  </si>
  <si>
    <t>(143,282+100+100)=343,282</t>
  </si>
  <si>
    <t>п.5 ст.93 ФЗ 44</t>
  </si>
  <si>
    <t>(29,4+29,4+29,4)=88,20</t>
  </si>
  <si>
    <t>(62,19+62,02+62,02)=186,23</t>
  </si>
  <si>
    <t>(7,667+7,667+7,667)=23,001</t>
  </si>
  <si>
    <t>(0,45+0,45)=0,9</t>
  </si>
  <si>
    <t>(28996,40+28996,40+28996,40)=28996,40</t>
  </si>
  <si>
    <t>44ФЗ</t>
  </si>
  <si>
    <t>(4,96150+3,05450+4,30850)=12,3245</t>
  </si>
  <si>
    <t>(7,50540+9,56250+6,665,52)=23,73342</t>
  </si>
  <si>
    <t>ФЗ</t>
  </si>
  <si>
    <t>(1,96950+1,77550+1,603+1,08520+0,42550+4,21950+1,8265+1,448)=14,35270</t>
  </si>
  <si>
    <t>44 ФЗ</t>
  </si>
  <si>
    <t>(30,093+145,992+26,349)=202,434</t>
  </si>
  <si>
    <t>(16,33320+31,1437)=47,4769</t>
  </si>
  <si>
    <t>(0,377+0,437+0,4294)/3=414,47 414,47*250=103,6675</t>
  </si>
  <si>
    <t>(220,96+217,12+153,40)=197,16 350*197,16/1000=69,006</t>
  </si>
  <si>
    <t>ФЗ 44</t>
  </si>
  <si>
    <t>(45,97824+28,37142+9,93006+33,48422)=117,76394</t>
  </si>
  <si>
    <t>(39,7413+14,3076+43,272+2,87295+41,3208+34,581)=176,09565</t>
  </si>
  <si>
    <t>44 Фз</t>
  </si>
  <si>
    <t>(17,724+55,9008+33,31440)=106,93920</t>
  </si>
  <si>
    <t>ЭА 6715/16 от 20.12.2016</t>
  </si>
  <si>
    <t>8422*36,50=307403</t>
  </si>
  <si>
    <t>п.5 сть.93 фз44</t>
  </si>
  <si>
    <t>(220813,44+103531,20+154422,64+154422,64)=633,188</t>
  </si>
  <si>
    <t>п.5 ст.93 ФЗ - 44</t>
  </si>
  <si>
    <t>п.5 ст. 93 ФЗ - 44</t>
  </si>
  <si>
    <t>п5 ст. 93 ФЗ 44</t>
  </si>
  <si>
    <t>п.5 ст 93. ФЗ -44</t>
  </si>
  <si>
    <t>п5 ст 93 44-ФЗ</t>
  </si>
  <si>
    <t>п.5 ст 93 44 ФЗ</t>
  </si>
  <si>
    <t>(64371,30+57098+57098)=178567,30</t>
  </si>
  <si>
    <t>п.5 ст 93 44 фз</t>
  </si>
  <si>
    <t>(24,795+24795+24,795)=24,795</t>
  </si>
  <si>
    <t>13,455+13,455+13,455=13,455</t>
  </si>
  <si>
    <t>8,89+8,89+8,89=8,89</t>
  </si>
  <si>
    <t>5,16915+5,16915+5,16915=5,16915</t>
  </si>
  <si>
    <t>44 фз</t>
  </si>
  <si>
    <t>41,00568+41,00568+41,00568=41,00568</t>
  </si>
  <si>
    <t>13,64250+13,64250+13,64250=13,64250</t>
  </si>
  <si>
    <t>152,08360+152,08360+152,08360=152,08360</t>
  </si>
  <si>
    <t>52,310+52,310+52,310=52,310</t>
  </si>
  <si>
    <t>(76,95+76,95+76,95)/3=76,95</t>
  </si>
  <si>
    <t>(93,72042+93,72042+93,72042)=93,72042</t>
  </si>
  <si>
    <t>(13,6788+13,6788+13,6788)=13,6788</t>
  </si>
  <si>
    <t>(26,03468+26,03468+26,03468)/3=26,03468</t>
  </si>
  <si>
    <t>(90,71972+90,71972+90,71972)/3=90,71972</t>
  </si>
  <si>
    <t>(23,43250+23,43250+23,43250)/3=23,43250</t>
  </si>
  <si>
    <t>1. реализация адаптированных основных общеобразовательных программ для детей с умственной отсталостью - обучающиеся с ограниченными возможностями здоровья (ОВЗ);                                                                                                                                                                                                                  2. реализация основных общеобразовательных программ основного общего образования-адаптированная образовательная программа-обучающиеся с ограниченными возможностями здоровья (ОВЗ);                                                                                                                                                     3. реализация основных общеобразовательных программ основного общего образования-адаптированная образовательная программа-обучающиеся с ограниченными возможностями здоровья (ОВЗ) проходящие обучение по состоянию здоровья на дому;                                                   4. коррекционно-развивающая, компенсирующая и логопедическая помощь обучающимся;                5. присмотр и уход- обучающиеся за исключением детей-инвалидов;                                                        6. присмотр и уход- дети -инвалиды;                                                                                                                7. содержание детей-обучающиеся с ограниченными возможностями здоровья (ОВЗ);                           8. предоставление питания ;                                                                                                                        9. аренда и управление собственным или арендованным недвижимым имуществом.</t>
  </si>
  <si>
    <r>
      <t xml:space="preserve">Прочие работы (услуги) </t>
    </r>
    <r>
      <rPr>
        <sz val="12"/>
        <color indexed="10"/>
        <rFont val="Times New Roman"/>
        <family val="1"/>
        <charset val="204"/>
      </rPr>
      <t>(Монтаж, демонтаж, установка оборудования, металлических конструкций, счетчика теплоэнергии и горячей воды, трехфазного счетчика, системы контроля и управления доступом (работы по  монтажу узла учета тепловой энергии ), (Монтаж умывальников  и ножных ванн в санитарных узлах )</t>
    </r>
  </si>
  <si>
    <r>
      <t xml:space="preserve">Субсидии на иные цели , всего                                                                                       Осуществление работ по разработке проектно-сметной документации, проведению государственнной экспертизы проектно-сметной документации, капитальному ремонту имущества, закрепленного за бюджетными учреждениями на праве оперативного управления: </t>
    </r>
    <r>
      <rPr>
        <sz val="12"/>
        <color indexed="12"/>
        <rFont val="Times New Roman"/>
        <family val="1"/>
        <charset val="204"/>
      </rPr>
      <t>(капитальный ремонт здания школы ( устройство туалетных комнат и септика)</t>
    </r>
  </si>
  <si>
    <r>
      <t>Субсидии на иные цели,всего                                                                                                       Приобретение основных средств и (или) материальных запасов для осуществления видов деятельности бюджетных учреждений, предусмотренных учредительными документами:</t>
    </r>
    <r>
      <rPr>
        <sz val="12"/>
        <color indexed="12"/>
        <rFont val="Times New Roman"/>
        <family val="1"/>
        <charset val="204"/>
      </rPr>
      <t xml:space="preserve"> ( приобретение учебников, ученической мебели )</t>
    </r>
  </si>
  <si>
    <r>
      <t xml:space="preserve">Осуществление иных расходов, не относящихся к расходам, осуществляемым за счет средств субсидий на осуществление капитальных вложений в объекты капитального строительства государственной собственности Красноярского края и приобретение объектов недвижимого имущества в государственную собственность Красноярского края : </t>
    </r>
    <r>
      <rPr>
        <sz val="12"/>
        <color indexed="12"/>
        <rFont val="Times New Roman"/>
        <family val="1"/>
        <charset val="204"/>
      </rPr>
      <t xml:space="preserve">(монтаж, демонтаж, установка оборудования, металлических конструкций, счетчика теплоэнергии и горячей воды, трехфазного счетчика, системы контроля и управления доступом (работы по  монтажу узла учета тепловой энергии ), монтаж умывальников  и ножных ванн в санитарных узлах , приобретение  теплового оборудования) </t>
    </r>
  </si>
  <si>
    <t>Руководитель (уполномоченное лицо)</t>
  </si>
  <si>
    <t>Сурова В. П.</t>
  </si>
  <si>
    <t>« 05 »</t>
  </si>
  <si>
    <t>г.</t>
  </si>
  <si>
    <t>ПЛАН-ГРАФИК</t>
  </si>
  <si>
    <t>закупок товаров, работ, услуг для обеспечения нужд субъекта Российской Федерации и муниципальных нужд</t>
  </si>
  <si>
    <r>
      <t xml:space="preserve">на 20 </t>
    </r>
    <r>
      <rPr>
        <b/>
        <u/>
        <sz val="11"/>
        <color indexed="8"/>
        <rFont val="Calibri"/>
        <family val="2"/>
        <charset val="204"/>
      </rPr>
      <t>17</t>
    </r>
    <r>
      <rPr>
        <b/>
        <sz val="11"/>
        <color indexed="8"/>
        <rFont val="Calibri"/>
        <family val="2"/>
        <charset val="204"/>
      </rPr>
      <t xml:space="preserve"> год</t>
    </r>
  </si>
  <si>
    <t>Коды</t>
  </si>
  <si>
    <t>Наименование заказчика (государственного (муниципального) заказчика, бюджетного, автономного учреждения или государственного (муниципального) унитарного предприятия)</t>
  </si>
  <si>
    <t>КРАЕВОЕ ГОСУДАРСТВЕННОЕ БЮДЖЕТНОЕ ОБЩЕОБРАЗОВАТЕЛЬНОЕ УЧРЕЖДЕНИЕ "ТИНСКАЯ ШКОЛА-ИНТЕРНАТ"</t>
  </si>
  <si>
    <t>ИНН</t>
  </si>
  <si>
    <t>КПП</t>
  </si>
  <si>
    <t>Организационно-правовая форма</t>
  </si>
  <si>
    <t>Государственные бюджетные учреждения субъектов Российской Федерации</t>
  </si>
  <si>
    <t>по ОКОПФ</t>
  </si>
  <si>
    <t>Форма собственности</t>
  </si>
  <si>
    <t>Собственность субъектов Российской Федерации</t>
  </si>
  <si>
    <t>по ОКФС</t>
  </si>
  <si>
    <t>Наименование публично-правового образования</t>
  </si>
  <si>
    <t>Место нахождения (адрес), телефон, адрес электронной почты</t>
  </si>
  <si>
    <t>Российская Федерация, 663830, Красноярский край, Нижнеингашский р-н, Тинской п, УЛ ПЕРВОМАЙСКАЯ, 47 , 7-39171-21275 , ret4634@yandex.ru</t>
  </si>
  <si>
    <t>Вид документа</t>
  </si>
  <si>
    <t>измененный</t>
  </si>
  <si>
    <t>дата изменения</t>
  </si>
  <si>
    <t>Единица измерения: рубль</t>
  </si>
  <si>
    <t>Совокупный годовой объем закупок (справочно), рублей</t>
  </si>
  <si>
    <t>Идентификационный код закупки</t>
  </si>
  <si>
    <t>Объект закупки</t>
  </si>
  <si>
    <t>Начальная (максимальная) цена контракта, цена контракта, заключаемого с единственным поставщиком (подрядчиком, исполнителем)</t>
  </si>
  <si>
    <t>Размер аванса, процентов</t>
  </si>
  <si>
    <t>Планируемые платежи</t>
  </si>
  <si>
    <t>Единица измерения</t>
  </si>
  <si>
    <t>Количество (объем) закупаемых товаров, работ, услуг</t>
  </si>
  <si>
    <t>Планируемый срок (периодичность) поставки товаров, выполнения работ, оказания услуг</t>
  </si>
  <si>
    <t>Размер обеспечения</t>
  </si>
  <si>
    <t>Планируемый срок, (месяц, год)</t>
  </si>
  <si>
    <t>Способ определения поставщика (подрядчика, исполнителя)</t>
  </si>
  <si>
    <t>Преимущества, предоставля­емые участникам закупки в соответствии со статьями 28 и 29 Федерального закона "О контрактной системе в сфере закупок товаров, работ, услуг для обеспечения государст­венных и муниципальных нужд" ("да" или "нет")</t>
  </si>
  <si>
    <t>Осуществление закупки у субъектов малого предпринима­тельства и социально ориентирова­нных некоммерческих организаций ("да" или "нет")</t>
  </si>
  <si>
    <t>Применение национального режима при осуществлении закупок</t>
  </si>
  <si>
    <t>Дополнительные требования к участникам закупки отдельных видов товаров, работ, услуг</t>
  </si>
  <si>
    <t>Сведения о проведении обязательного общественного обсуждения закупки</t>
  </si>
  <si>
    <t>Информация о банковском сопровождении контрактов/казначейском сопровождении контрактов</t>
  </si>
  <si>
    <t>Обоснование внесения изменений</t>
  </si>
  <si>
    <t>Наименование уполномоченного органа (учреждения)</t>
  </si>
  <si>
    <t>Наименование организатора проведения совместного конкурса или аукциона</t>
  </si>
  <si>
    <t>наимено­вание</t>
  </si>
  <si>
    <t>описание</t>
  </si>
  <si>
    <t>всего</t>
  </si>
  <si>
    <t>на текущий финансовый год</t>
  </si>
  <si>
    <t>на плановый период</t>
  </si>
  <si>
    <t>последующие годы</t>
  </si>
  <si>
    <t>код по ОКЕИ</t>
  </si>
  <si>
    <t>заявки</t>
  </si>
  <si>
    <t>исполнения контракта</t>
  </si>
  <si>
    <t>начала осуществления закупок</t>
  </si>
  <si>
    <t>окончания исполнения контракта</t>
  </si>
  <si>
    <t>на первый год</t>
  </si>
  <si>
    <t>на второй год</t>
  </si>
  <si>
    <t>Услуги по распределению электроэнергии</t>
  </si>
  <si>
    <t>Услуга по распределению электроэнергии ст.14 ФЗ44</t>
  </si>
  <si>
    <t>X</t>
  </si>
  <si>
    <t>Периодичность поставки товаров (выполнения работ, оказания услуг): Ежедневно</t>
  </si>
  <si>
    <t>Закупка у единственного поставщика (подрядчика, исполнителя)</t>
  </si>
  <si>
    <t>нет</t>
  </si>
  <si>
    <t>Нет</t>
  </si>
  <si>
    <t>Изменение объема и (или) стоимости планируемых к приобретению товаров, работ, услуг, выявленное в результате подготовки к осуществлению закупки, вследствие чего поставка товаров, выполнение работ, оказание услуг в соответствии с начальной (максимальной) ценой контракта, предусмотренной планом-графиком закупок, становится невозможной</t>
  </si>
  <si>
    <t>Планируемый срок (сроки отдельных этапов) поставки товаров (выполнения работ, оказания услуг): с 01 января 2017 по 31 декабря 2017</t>
  </si>
  <si>
    <t>Изменение закупки</t>
  </si>
  <si>
    <t>Мегаватт-час;^1000 киловатт-часов</t>
  </si>
  <si>
    <t>Услуги по подаче Теплоэнергии</t>
  </si>
  <si>
    <t>Услуги по предоставлению Тепло энергии ст.14 44 ФЗ</t>
  </si>
  <si>
    <t>Планируемый срок (сроки отдельных этапов) поставки товаров (выполнения работ, оказания услуг): с 01 января 2017 по 31 мая 2017</t>
  </si>
  <si>
    <t>Гигакалория</t>
  </si>
  <si>
    <t>Услуги по транспортировке Воды питьевой</t>
  </si>
  <si>
    <t>Услуги по поставке воды питьевой</t>
  </si>
  <si>
    <t>Планируемый срок (сроки отдельных этапов) поставки товаров (выполнения работ, оказания услуг): с 01 января 2017 по 30 июня 2017</t>
  </si>
  <si>
    <t>Услуги по поставке питьевой воды</t>
  </si>
  <si>
    <t>Кубический метр в час</t>
  </si>
  <si>
    <t>Услуги по транспортированию сточных вод</t>
  </si>
  <si>
    <t>Откачка септика ст.14 44 ФЗ</t>
  </si>
  <si>
    <t>Периодичность поставки товаров (выполнения работ, оказания услуг): 2 раза в месяц</t>
  </si>
  <si>
    <t>Планируемый срок (сроки отдельных этапов) поставки товаров (выполнения работ, оказания услуг): с 01 февраля 2017 по 31 мая 2017</t>
  </si>
  <si>
    <t>Услуги по откачке септика</t>
  </si>
  <si>
    <t>Кубический метр</t>
  </si>
  <si>
    <t>Услуги по предоставлению внутризоновых, междугородных и международных телефонных соединений</t>
  </si>
  <si>
    <t>Услуга по предоставлению сети Интернет</t>
  </si>
  <si>
    <t>Услуги по предоставлению связи</t>
  </si>
  <si>
    <t>Минута</t>
  </si>
  <si>
    <t>Услуги по предоставление доступа к информационно-коммуникационной сети Интернет через сети, установленные между клиентом и провайдером услуг информационно-коммуникационной сети Интернет, не принадлежащие провайдеру услуг информационно-коммуникационно й сети Интернет или не находящиеся под его контролем, такие как доступ к информационно-коммуникационной сети Интернет по телефонной линии и т. д.</t>
  </si>
  <si>
    <t>услуги по предоставлению сети Интернет ст.14 44 ФЗ</t>
  </si>
  <si>
    <t>Услуги по предоставлению Интернета</t>
  </si>
  <si>
    <t>Килобит в секунду</t>
  </si>
  <si>
    <t>Конверты, марки почтовые</t>
  </si>
  <si>
    <t>Поставка конвертов</t>
  </si>
  <si>
    <t>Периодичность поставки товаров (выполнения работ, оказания услуг): Один раз в год</t>
  </si>
  <si>
    <t>Планируемый срок (сроки отдельных этапов) поставки товаров (выполнения работ, оказания услуг): ноябрь 2017 года</t>
  </si>
  <si>
    <t>Конверты</t>
  </si>
  <si>
    <t>Штука</t>
  </si>
  <si>
    <t>Услуги по дезинфекции, дезинсекции и дератизации</t>
  </si>
  <si>
    <t>Дератизация и дезинсекция объектов ст.14 44 ФЗ</t>
  </si>
  <si>
    <t>Периодичность поставки товаров (выполнения работ, оказания услуг): Ежемесячно</t>
  </si>
  <si>
    <t>Планируемый срок (сроки отдельных этапов) поставки товаров (выполнения работ, оказания услуг): с января 2017 по декабрь 23017</t>
  </si>
  <si>
    <t>Дератизация</t>
  </si>
  <si>
    <t>Квадратный метр</t>
  </si>
  <si>
    <t>Услуги по техническим испытанием промывки и оприсовки</t>
  </si>
  <si>
    <t>промывка и оприсвка отопительной системы ст.14 ФЗ44</t>
  </si>
  <si>
    <t>Планируемый срок (сроки отдельных этапов) поставки товаров (выполнения работ, оказания услуг): с июня 2017 по июль 2017</t>
  </si>
  <si>
    <t>Промывка и оприсовка отопительной системы</t>
  </si>
  <si>
    <t>Услуги по восстановлению данных и поддержке повседневных компьютеризованных работ в случае чрезвычайного происшествия, "Тандем-2"</t>
  </si>
  <si>
    <t>Услуги по обеспечению пожарной безопасности "Тандем-2"</t>
  </si>
  <si>
    <t>Планируемый срок (сроки отдельных этапов) поставки товаров (выполнения работ, оказания услуг): С января 2017 по декабрь 217</t>
  </si>
  <si>
    <t>Услуги по обслуживанию противопожарной системы "Тандем-2"</t>
  </si>
  <si>
    <t>Услуги по регламентным работам (по видам технического обслуживания)</t>
  </si>
  <si>
    <t>Ремонт автотранспорта</t>
  </si>
  <si>
    <t>Планируемый срок (сроки отдельных этапов) поставки товаров (выполнения работ, оказания услуг): с момента заключения контракта до 31.05.2017</t>
  </si>
  <si>
    <t>Услуги по техническому осмотру автотранспортных средств</t>
  </si>
  <si>
    <t>Технический осмотр автотранспорта</t>
  </si>
  <si>
    <t>Планируемый срок (сроки отдельных этапов) поставки товаров (выполнения работ, оказания услуг): с марта 2017 по сентябрь 2017</t>
  </si>
  <si>
    <t>Услуги по ремонту приборов бытовой электроники</t>
  </si>
  <si>
    <t>Услуги по ремонту бытовой техники ст.14 ФЗ44</t>
  </si>
  <si>
    <t>Планируемый срок (сроки отдельных этапов) поставки товаров (выполнения работ, оказания услуг): с момента заключения контракта до 31.12.2017 года</t>
  </si>
  <si>
    <t>услуги по ремонту бытовых приборов</t>
  </si>
  <si>
    <t>Услуги по ремонту компьютеров и периферийного оборудования, заправке картриджей</t>
  </si>
  <si>
    <t>Услуги в области заправки картриджей ст 14 44 ФЗ</t>
  </si>
  <si>
    <t>Планируемый срок (сроки отдельных этапов) поставки товаров (выполнения работ, оказания услуг): С момента заключения контракта до 31.12.2017</t>
  </si>
  <si>
    <t>Услуги по заправке картриджей</t>
  </si>
  <si>
    <t>Услуги по ремонту компьютеров и периферийного оборудования</t>
  </si>
  <si>
    <t>Услуги по ремонту компьюерной техники</t>
  </si>
  <si>
    <t>Периодичность поставки товаров (выполнения работ, оказания услуг): Ежеквартально</t>
  </si>
  <si>
    <t>Отмена заказчиком закупки, предусмотренной планом-графиком закупок</t>
  </si>
  <si>
    <t>Планируемый срок (сроки отдельных этапов) поставки товаров (выполнения работ, оказания услуг): с момента заключения контракта до 31.12.2017</t>
  </si>
  <si>
    <t>Отмена закупки</t>
  </si>
  <si>
    <t>Ремонт компьютеров</t>
  </si>
  <si>
    <t>Планируемый срок (сроки отдельных этапов) поставки товаров (выполнения работ, оказания услуг): ноябрь 2017</t>
  </si>
  <si>
    <t>ремонт компьютерной техники</t>
  </si>
  <si>
    <t>Услуги по техническим испытаниям пожарных кранов</t>
  </si>
  <si>
    <t>Услуги по испытанию пожарных кранов ст.14 44 ФЗ</t>
  </si>
  <si>
    <t>Испытание пожарных кранов</t>
  </si>
  <si>
    <t>Работы по противопожарной защите кулисы</t>
  </si>
  <si>
    <t>услуги по пропитке (кулисы) огнезащитным составом ст 14 ФЗ44</t>
  </si>
  <si>
    <t>Планируемый срок (сроки отдельных этапов) поставки товаров (выполнения работ, оказания услуг): с июня 2017 по 31 июля 2017</t>
  </si>
  <si>
    <t>Пропитка кулисы</t>
  </si>
  <si>
    <t>Электротехнические измерения сетей</t>
  </si>
  <si>
    <t>Услуги в области измерения сопративления</t>
  </si>
  <si>
    <t>Планируемый срок (сроки отдельных этапов) поставки товаров (выполнения работ, оказания услуг): с момента заключения контракта до 31.07.2017</t>
  </si>
  <si>
    <t>Измерения сопративления</t>
  </si>
  <si>
    <t>Условная единица</t>
  </si>
  <si>
    <t>Услуги видеонаблюдения</t>
  </si>
  <si>
    <t>Услуги в области видеонаблюдения</t>
  </si>
  <si>
    <t>Услуги по обслуживанию приборов видеонаблюдения</t>
  </si>
  <si>
    <t>Услуги систем обеспечения пожарной безопасности</t>
  </si>
  <si>
    <t>слуги в области обслуживания кнопок оповещения пожарной безопасности ст.14 44 ФЗ</t>
  </si>
  <si>
    <t>Планируемый срок (сроки отдельных этапов) поставки товаров (выполнения работ, оказания услуг): с 01 января 2017 по 31 декабря 2017 года</t>
  </si>
  <si>
    <t>Услуги в области проверки тревожных противопожарных кнопок</t>
  </si>
  <si>
    <t>Услуги в области метрологии поверки средств измерений</t>
  </si>
  <si>
    <t>Услуги в области измерений приборов учета</t>
  </si>
  <si>
    <t>Услуги по в области проверки приборов учета</t>
  </si>
  <si>
    <t>Услуги по перестрахованию обязательств по прочему страхованию автотранспортных</t>
  </si>
  <si>
    <t>Услуги по страхованию автотранспорта</t>
  </si>
  <si>
    <t>Планируемый срок (сроки отдельных этапов) поставки товаров (выполнения работ, оказания услуг): с момента заключения контракта до 30.09.2017</t>
  </si>
  <si>
    <t>Услуги в области медицины прочие, медицинский осмотр работников</t>
  </si>
  <si>
    <t>Прохождение медицинского осмотра работниками</t>
  </si>
  <si>
    <t>Планируемый срок (сроки отдельных этапов) поставки товаров (выполнения работ, оказания услуг): с момента заключения до 31.07.2017</t>
  </si>
  <si>
    <t>Человек</t>
  </si>
  <si>
    <t>Услуги скорой медицинской помощи, прохождение предрейсовых и послерейсовых медицинских осмотров</t>
  </si>
  <si>
    <t>Услуги пред рейсового и после рейсового осмотра водителей</t>
  </si>
  <si>
    <t>Планируемый срок (сроки отдельных этапов) поставки товаров (выполнения работ, оказания услуг): с 01.01.2017 по 30.09.2017</t>
  </si>
  <si>
    <t>Медицинский осмотр водителей</t>
  </si>
  <si>
    <t>Услуги по технической поддержке в области информационных технологий ГЛОНАСС</t>
  </si>
  <si>
    <t>Услуги по технической поддержки ГНОНАСС</t>
  </si>
  <si>
    <t>Планируемый срок (сроки отдельных этапов) поставки товаров (выполнения работ, оказания услуг): с момента заключения до 31.12.2017</t>
  </si>
  <si>
    <t>Услуга ГЛОНАСС</t>
  </si>
  <si>
    <t>Услуги почтовой связи общего пользования, связанные с газетами и прочими периодическими изданиями</t>
  </si>
  <si>
    <t>Поставка подписных изданий</t>
  </si>
  <si>
    <t>Периодичность поставки товаров (выполнения работ, оказания услуг): Еженедельно</t>
  </si>
  <si>
    <t>Вестник образования России</t>
  </si>
  <si>
    <t>Девченки-мальчишки . Школа ремесел</t>
  </si>
  <si>
    <t>Делаем сами</t>
  </si>
  <si>
    <t>Праздник в школе</t>
  </si>
  <si>
    <t>Коллекция идей</t>
  </si>
  <si>
    <t>В гостях у доброй сказки</t>
  </si>
  <si>
    <t>В мире животных WOLD OF</t>
  </si>
  <si>
    <t>Валя- Валентина</t>
  </si>
  <si>
    <t>Веселые картинки о природе</t>
  </si>
  <si>
    <t>Детская энциклопедия</t>
  </si>
  <si>
    <t>Дополнительное образование</t>
  </si>
  <si>
    <t>Мастерилка</t>
  </si>
  <si>
    <t>Миша</t>
  </si>
  <si>
    <t>Почемучкам обо всем на свете</t>
  </si>
  <si>
    <t>Саша и Маша 1000 приключений</t>
  </si>
  <si>
    <t>Свирелька детям о природе</t>
  </si>
  <si>
    <t>Том и Джерри</t>
  </si>
  <si>
    <t>Эскиз</t>
  </si>
  <si>
    <t>Услуги по предоставлению средств обеспечения охраны (тревожная кнопка)</t>
  </si>
  <si>
    <t>оказание услуг круглосуточной охраны (Тревожная кнопка) ст.14 ФЗ44</t>
  </si>
  <si>
    <t>62020.80/62190.00</t>
  </si>
  <si>
    <t>Периодичность поставки товаров (выполнения работ, оказания услуг): Круглосуточно</t>
  </si>
  <si>
    <t>Услуги по предоставлению круглосуточной охраны (Тревожная кнопка)</t>
  </si>
  <si>
    <t>Час</t>
  </si>
  <si>
    <t>Бланки свидетельств</t>
  </si>
  <si>
    <t>Свидетельства об окончании школы</t>
  </si>
  <si>
    <t>Свидетельства</t>
  </si>
  <si>
    <t>Функциональные, технические, качественные, эксплуатационные характеристики: свидетельства</t>
  </si>
  <si>
    <t>Услуги школ подготовки водителей технического минимума</t>
  </si>
  <si>
    <t>Прохождение обучения технического минимума</t>
  </si>
  <si>
    <t>Планируемый срок (сроки отдельных этапов) поставки товаров (выполнения работ, оказания услуг): с момента заключения контракта до 31.12.2017 г</t>
  </si>
  <si>
    <t>Прохождение обучения</t>
  </si>
  <si>
    <t>Функциональные, технические, качественные, эксплуатационные характеристики: Технический минимум</t>
  </si>
  <si>
    <t>Услуги по дополнительному образованию по программе "Контрактный управляющий"</t>
  </si>
  <si>
    <t>Обучение на Контрактного управляющего согласно 44 ФЗ</t>
  </si>
  <si>
    <t>Обучение согласно 44 ФЗ</t>
  </si>
  <si>
    <t>Функциональные, технические, качественные, эксплуатационные характеристики: Контрактный управляющий</t>
  </si>
  <si>
    <t>Электронный аукцион</t>
  </si>
  <si>
    <t>да</t>
  </si>
  <si>
    <t>АГЕНТСТВО ГОСУДАРСТВЕННОГО ЗАКАЗА КРАСНОЯРСКОГО КРАЯ</t>
  </si>
  <si>
    <t>Планируемый срок (сроки отдельных этапов) поставки товаров (выполнения работ, оказания услуг): с момента заключения контракта до 31 декабря 2017 года</t>
  </si>
  <si>
    <t>Колбаса вареная</t>
  </si>
  <si>
    <t>Килограмм</t>
  </si>
  <si>
    <t>Функциональные, технические, качественные, эксплуатационные характеристики: Докторская, категория А</t>
  </si>
  <si>
    <t>Сардельки</t>
  </si>
  <si>
    <t>Функциональные, технические, качественные, эксплуатационные характеристики: Категория Б</t>
  </si>
  <si>
    <t>Сосиски Молочные</t>
  </si>
  <si>
    <t>Кондитерские изделия (мучные кондитерские изделия)</t>
  </si>
  <si>
    <t>Мучной продукт</t>
  </si>
  <si>
    <t>Планируемый срок (сроки отдельных этапов) поставки товаров (выполнения работ, оказания услуг): с момента заключения контракта до 31 декабря 2017</t>
  </si>
  <si>
    <t>Вафли неглазированные</t>
  </si>
  <si>
    <t>Функциональные, технические, качественные, эксплуатационные характеристики: весовые</t>
  </si>
  <si>
    <t>Печенье сахарное</t>
  </si>
  <si>
    <t>Функциональные, технические, качественные, эксплуатационные характеристики: неглазированное, весовое</t>
  </si>
  <si>
    <t>Пряники</t>
  </si>
  <si>
    <t>Продукты пищевые готовые и блюда</t>
  </si>
  <si>
    <t>Поставка кондитерских изделий</t>
  </si>
  <si>
    <t>Участникам, заявки или окончательные предложения которых содержат предложения о поставке товаров в соответствии с приказом Минэкономразвития России № 155 от 25.03.2014</t>
  </si>
  <si>
    <t>Планируемый срок (сроки отдельных этапов) поставки товаров (выполнения работ, оказания услуг): с момента заключения контракта по 31.12.2017 года</t>
  </si>
  <si>
    <t>предоставляются преференции в отношении цены 15%</t>
  </si>
  <si>
    <t>Конфеты шоколадные</t>
  </si>
  <si>
    <t>Функциональные, технические, качественные, эксплуатационные характеристики: с помадной начинкой, весовые</t>
  </si>
  <si>
    <t>Функциональные, технические, качественные, эксплуатационные характеристики: с пралиновой начинкой, весовые</t>
  </si>
  <si>
    <t>Шоколадный батончик</t>
  </si>
  <si>
    <t>Функциональные, технические, качественные, эксплуатационные характеристики: масса нетто 45-80 гр</t>
  </si>
  <si>
    <t>Крупа ст. 14 ФЗ44</t>
  </si>
  <si>
    <t>Поставка крупы на 2 полугодие 2017 года</t>
  </si>
  <si>
    <t>Крупа пшено</t>
  </si>
  <si>
    <t>Функциональные, технические, качественные, эксплуатационные характеристики: 1 сорт, весовая мешок 50 кг</t>
  </si>
  <si>
    <t>Крупа пшеничная</t>
  </si>
  <si>
    <t>Функциональные, технические, качественные, эксплуатационные характеристики: 1 сорт, весовая, мешок 50 кг</t>
  </si>
  <si>
    <t>Крупа геркулес</t>
  </si>
  <si>
    <t>Функциональные, технические, качественные, эксплуатационные характеристики:  1 сорт, мешок 40 кг</t>
  </si>
  <si>
    <t>Функциональные, технические, качественные, эксплуатационные характеристики: 1 сорт, фасованный, масса нетто 800-1000 гр.</t>
  </si>
  <si>
    <t>Крупа гречневая</t>
  </si>
  <si>
    <t>Крупа манная</t>
  </si>
  <si>
    <t>Крупа перловая</t>
  </si>
  <si>
    <t>Горох колотый</t>
  </si>
  <si>
    <t>Функциональные, технические, качественные, эксплуатационные характеристики: весовой, мешок 50 кг</t>
  </si>
  <si>
    <t>Лук репчатый</t>
  </si>
  <si>
    <t>Поставка лук репчатый 2 полугодие 2017 года</t>
  </si>
  <si>
    <t>Планируемый срок (сроки отдельных этапов) поставки товаров (выполнения работ, оказания услуг): с момента заключения до 31.12.2017 года</t>
  </si>
  <si>
    <t>преференции в отношении цены 15 %</t>
  </si>
  <si>
    <t>Функциональные, технические, качественные, эксплуатационные характеристики: Плоды сухие без признаков прорастания пера и гнили, без признаков дряблости. Упаковка - сетчатый мешок</t>
  </si>
  <si>
    <t>Макаронные изделия ст.14 ФЗ44</t>
  </si>
  <si>
    <t>Поставка макаронных изделий ст.14 44ФЗ</t>
  </si>
  <si>
    <t>преференции в отношении цены 15%</t>
  </si>
  <si>
    <t>Функциональные, технические, качественные, эксплуатационные характеристики: 1 сорт, мешок 5 кг</t>
  </si>
  <si>
    <t>Молоко и кисломолочная продукция</t>
  </si>
  <si>
    <t>Поставки молока и кисломолочной продукции ст.14 ФЗ 44</t>
  </si>
  <si>
    <t>0.00/305379.60</t>
  </si>
  <si>
    <t>Периодичность поставки товаров (выполнения работ, оказания услуг): 2 раза в неделю</t>
  </si>
  <si>
    <t>Йогурт молочный</t>
  </si>
  <si>
    <t>Функциональные, технические, качественные, эксплуатационные характеристики: массовая доля жира 1-2,5%, масса нетто 300-500 гр</t>
  </si>
  <si>
    <t>Молоко пастеризованное</t>
  </si>
  <si>
    <t>Литр;^кубический дециметр</t>
  </si>
  <si>
    <t>Функциональные, технические, качественные, эксплуатационные характеристики: массовая доля жира 3,2%, объем 0,9-1,0 литр, потребительская упаковка на основе полимерных материалов</t>
  </si>
  <si>
    <t>Продукт кисломолочный "Ряженка"</t>
  </si>
  <si>
    <t>Функциональные, технические, качественные, эксплуатационные характеристики: массовая доля жира 2,5%, потребительская упаковка на основе картона, объем 500мл</t>
  </si>
  <si>
    <t>Масло сливочное ст. 14 ФЗ 44</t>
  </si>
  <si>
    <t>Поставка масла сливочного</t>
  </si>
  <si>
    <t>Периодичность поставки товаров (выполнения работ, оказания услуг): два раза в неделю</t>
  </si>
  <si>
    <t>Запрет на допуск товаров, услуг при осуществлении закупок, а также ограничения и условия допуска в соответствии с требованиями, установленными статьей 14 Федерального закона № 44-ФЗ</t>
  </si>
  <si>
    <t>Функциональные, технические, качественные, эксплуатационные характеристики: Монолит, массовая доля жира 72,5%</t>
  </si>
  <si>
    <t>Молочная продукция (сметана, сыр полутвердых сортов)</t>
  </si>
  <si>
    <t>Молочная продукция (сметана, сыр)</t>
  </si>
  <si>
    <t>Функциональные, технические, качественные, эксплуатационные характеристики: Жирность 25%, масса нетто 200-600 гр</t>
  </si>
  <si>
    <t>Сыр полутвердых сортов</t>
  </si>
  <si>
    <t>Функциональные, технические, качественные, эксплуатационные характеристики: массовая доля жира 45-65%</t>
  </si>
  <si>
    <t>Молочная продукция (Творог) ст.14 ФЗ44</t>
  </si>
  <si>
    <t>Поставка молочной продукции (Творог) 2 полугодие 2017 года</t>
  </si>
  <si>
    <t>Молочная продукция (Творог)</t>
  </si>
  <si>
    <t>Функциональные, технические, качественные, эксплуатационные характеристики: Массовая доля жира 9%, масса нетто 200-500 гр</t>
  </si>
  <si>
    <t>Мясо говядины ст.14 ФЗ44</t>
  </si>
  <si>
    <t>Мясо говядины 2 полугодие 2017 года</t>
  </si>
  <si>
    <t>Мясо говядины</t>
  </si>
  <si>
    <t>Функциональные, технические, качественные, эксплуатационные характеристики: бескостное (шейная часть, лопаточная часть, грудинка, тазобедренная часть) термическое состояние: охлажденное, промышленного зобоя</t>
  </si>
  <si>
    <t>Функциональные, технические, качественные, эксплуатационные характеристики: На кости, отрубы 3-5 кг, термическое состояние: охлажденное, промышленного забоя</t>
  </si>
  <si>
    <t>Цыпленок - бройлер охлажденный</t>
  </si>
  <si>
    <t>Поставка цыпленок - бройлер 2 полугодие 2017 года</t>
  </si>
  <si>
    <t>Цыпленок - бройлер</t>
  </si>
  <si>
    <t>Функциональные, технические, качественные, эксплуатационные характеристики: потрошеный, охлажденный</t>
  </si>
  <si>
    <t>Рыба ст.14 ФЗ44</t>
  </si>
  <si>
    <t>Поставка рыбы на 1 полугодие 2017 года</t>
  </si>
  <si>
    <t>Планируемый срок (сроки отдельных этапов) поставки товаров (выполнения работ, оказания услуг): с момента заключения контракта до 30.06.2017</t>
  </si>
  <si>
    <t>Горбуша свежемороженая</t>
  </si>
  <si>
    <t>Функциональные, технические, качественные, эксплуатационные характеристики: потрошеная, без головы, масса одной рыбы +0,800 кг</t>
  </si>
  <si>
    <t>Минтай свежемороженый</t>
  </si>
  <si>
    <t>Функциональные, технические, качественные, эксплуатационные характеристики: потрошеный, без головы</t>
  </si>
  <si>
    <t>Сельдь слабосолёная в ведрах</t>
  </si>
  <si>
    <t>Функциональные, технические, качественные, эксплуатационные характеристики: непотрошеная, упаковка - пластиковое ведро, масса нетто - 9 кг</t>
  </si>
  <si>
    <t>Терпуг свежемороженый</t>
  </si>
  <si>
    <t>Функциональные, технические, качественные, эксплуатационные характеристики: непотрошеный, масса одной рыбы - +0,400 кг</t>
  </si>
  <si>
    <t>Фрукты свежие ст.14 ФЗ44</t>
  </si>
  <si>
    <t>Поставка свежих фруктов на 2 полугодие 2017 года</t>
  </si>
  <si>
    <t>Апельсины свежие</t>
  </si>
  <si>
    <t>Функциональные, технические, качественные, эксплуатационные характеристики: без следов повреждения гнили, плоды свежие, целые, здоровые, без поврежденной кожицы и плода болезнями и вредителями</t>
  </si>
  <si>
    <t>Бананы свежие</t>
  </si>
  <si>
    <t>Груша свежая</t>
  </si>
  <si>
    <t>Лимон свежий</t>
  </si>
  <si>
    <t>Мандарины свежие</t>
  </si>
  <si>
    <t>Яблоки свежие</t>
  </si>
  <si>
    <t>Хлеб и хлебобулочные изделия ст.14 ФЗ44</t>
  </si>
  <si>
    <t>Поставка хлеба и хлебобулочных изделий на 2 полугодие 2017 года</t>
  </si>
  <si>
    <t>0.00/0.00</t>
  </si>
  <si>
    <t>Булочка</t>
  </si>
  <si>
    <t>Функциональные, технические, качественные, эксплуатационные характеристики: из муки высшего сорта, масса нетто 100 гр</t>
  </si>
  <si>
    <t>Хлеб из пшеничной муки</t>
  </si>
  <si>
    <t>Функциональные, технические, качественные, эксплуатационные характеристики: 1 сорт</t>
  </si>
  <si>
    <t>Хлеб из смеси ржаной и пшеничной муки</t>
  </si>
  <si>
    <t>Функциональные, технические, качественные, эксплуатационные характеристики: масса булки 0,5-0,75 кг</t>
  </si>
  <si>
    <t>Сок апельсиновый</t>
  </si>
  <si>
    <t>поставка Сока апельсинового 0,2 л, 2 полугодие 2017 года</t>
  </si>
  <si>
    <t>Функциональные, технические, качественные, эксплуатационные характеристики: потребительская упаковка на основе картона, объем 0,2 л</t>
  </si>
  <si>
    <t>Сок яблочный</t>
  </si>
  <si>
    <t>Функциональные, технические, качественные, эксплуатационные характеристики: потребительская упаковка 0,2л,</t>
  </si>
  <si>
    <t>Сок мульти фруктовый</t>
  </si>
  <si>
    <t>Функциональные, технические, качественные, эксплуатационные характеристики: Потребительская упаковка 0,2 л</t>
  </si>
  <si>
    <t>Сода пищевая</t>
  </si>
  <si>
    <t>Поставка Соды пищевой</t>
  </si>
  <si>
    <t>Функциональные, технические, качественные, эксплуатационные характеристики: масса нетто 500 гр</t>
  </si>
  <si>
    <t>Прочие продукты питания на 1 полугодие 2017 года</t>
  </si>
  <si>
    <t>Поставка прочих продуктов питания ст.14 фз44</t>
  </si>
  <si>
    <t>0.00/10806.30</t>
  </si>
  <si>
    <t>Планируемый срок (сроки отдельных этапов) поставки товаров (выполнения работ, оказания услуг): с момента заключения по 30.06.2017 года</t>
  </si>
  <si>
    <t>Лимонная кислота</t>
  </si>
  <si>
    <t>Грамм</t>
  </si>
  <si>
    <t>Функциональные, технические, качественные, эксплуатационные характеристики: Производитель Россия</t>
  </si>
  <si>
    <t>Функциональные, технические, качественные, эксплуатационные характеристики: высший сорт</t>
  </si>
  <si>
    <t>Томатная паста</t>
  </si>
  <si>
    <t>Функциональные, технические, качественные, эксплуатационные характеристики: масса нетто 1000 гр</t>
  </si>
  <si>
    <t>Петрушка сушеная</t>
  </si>
  <si>
    <t>Функциональные, технические, качественные, эксплуатационные характеристики: производитель Россия</t>
  </si>
  <si>
    <t>Укроп сушеный</t>
  </si>
  <si>
    <t>Лавровый лист</t>
  </si>
  <si>
    <t>Функциональные, технические, качественные, эксплуатационные характеристики: Страна производитель РОССИЯ</t>
  </si>
  <si>
    <t>Поставка яиц</t>
  </si>
  <si>
    <t>Поставка яиц 1 ст.14 44ФЗ</t>
  </si>
  <si>
    <t>Периодичность поставки товаров (выполнения работ, оказания услуг): 1 раз в неделю</t>
  </si>
  <si>
    <t>Функциональные, технические, качественные, эксплуатационные характеристики: столовое, 1 категории</t>
  </si>
  <si>
    <t>Бензин автомобильный с октановым числом более 92, но не более 95 по исследовательскому методу вне классов</t>
  </si>
  <si>
    <t>Бензин автомобильный Аи - 92 ст. 14 ФЗ 44</t>
  </si>
  <si>
    <t>Планируемый срок (сроки отдельных этапов) поставки товаров (выполнения работ, оказания услуг): С Января 2017 по июнь 2017 года</t>
  </si>
  <si>
    <t>Бензин автомобильный</t>
  </si>
  <si>
    <t>Функциональные, технические, качественные, эксплуатационные характеристики: АИ - 92</t>
  </si>
  <si>
    <t>Бензин автомобильный АИ - 92, ст.14 ФЗ44</t>
  </si>
  <si>
    <t>Спецодежда прочая</t>
  </si>
  <si>
    <t>Приобретение специальной одежды для персонала</t>
  </si>
  <si>
    <t>Планируемый срок (сроки отдельных этапов) поставки товаров (выполнения работ, оказания услуг): до 31.12.2017</t>
  </si>
  <si>
    <t>Пара (2 шт.)</t>
  </si>
  <si>
    <t>Функциональные, технические, качественные, эксплуатационные характеристики: Рукавицы комбинированные</t>
  </si>
  <si>
    <t>Функциональные, технические, качественные, эксплуатационные характеристики: Размер М</t>
  </si>
  <si>
    <t>Функциональные, технические, качественные, эксплуатационные характеристики: прорезиненные</t>
  </si>
  <si>
    <t>Куртка</t>
  </si>
  <si>
    <t>Функциональные, технические, качественные, эксплуатационные характеристики: утепляющая подкладка</t>
  </si>
  <si>
    <t>Валенки</t>
  </si>
  <si>
    <t>Функциональные, технические, качественные, эксплуатационные характеристики: прорезиненная подошва</t>
  </si>
  <si>
    <t>Сапоги</t>
  </si>
  <si>
    <t>Функциональные, технические, качественные, эксплуатационные характеристики: Кожаные утепленные</t>
  </si>
  <si>
    <t>Костюм</t>
  </si>
  <si>
    <t>Функциональные, технические, качественные, эксплуатационные характеристики: хлопчатобумажный</t>
  </si>
  <si>
    <t>Перчатки</t>
  </si>
  <si>
    <t>Функциональные, технические, качественные, эксплуатационные характеристики: трикотажные с полимерным покрытием или рукавицы комбинированные</t>
  </si>
  <si>
    <t>Жилет</t>
  </si>
  <si>
    <t>Функциональные, технические, качественные, эксплуатационные характеристики: сигнальный 2 класс защиты</t>
  </si>
  <si>
    <t>Колпак</t>
  </si>
  <si>
    <t>Функциональные, технические, качественные, эксплуатационные характеристики: белый хлопчатобумажный или косынка</t>
  </si>
  <si>
    <t>Функциональные, технические, качественные, эксплуатационные характеристики: или косынка хлопчатобумажные</t>
  </si>
  <si>
    <t>Тапочки</t>
  </si>
  <si>
    <t>Функциональные, технические, качественные, эксплуатационные характеристики: или туфли текстильно-комбенированные на нескользящей подошве</t>
  </si>
  <si>
    <t>Ботинки</t>
  </si>
  <si>
    <t>Функциональные, технические, качественные, эксплуатационные характеристики: кожаные</t>
  </si>
  <si>
    <t>Функциональные, технические, качественные, эксплуатационные характеристики: диэлектрические</t>
  </si>
  <si>
    <t>Голоши</t>
  </si>
  <si>
    <t>Плащ</t>
  </si>
  <si>
    <t>Функциональные, технические, качественные, эксплуатационные характеристики: хлопчатобумажный с водоотталкивающей пропиткой</t>
  </si>
  <si>
    <t>Брюки</t>
  </si>
  <si>
    <t>Функциональные, технические, качественные, эксплуатационные характеристики: на утепляющей прокладе</t>
  </si>
  <si>
    <t>Одежда и аксессуары одежды для детей младшего возраста трикотажные или вязаные</t>
  </si>
  <si>
    <t>Приобретение одежды для воспитанников ст.14 ФЗ44</t>
  </si>
  <si>
    <t>Планируемый срок (сроки отдельных этапов) поставки товаров (выполнения работ, оказания услуг): Август 2017</t>
  </si>
  <si>
    <t>Рейтузы для девочек (легинсы, бриджи),</t>
  </si>
  <si>
    <t>200*0,37981=75,962</t>
  </si>
  <si>
    <t>150*126,60=18990</t>
  </si>
  <si>
    <t>136,62*5122,93=699894,7</t>
  </si>
  <si>
    <t>80,002,40+80,002,4+80,0024=80,00240</t>
  </si>
  <si>
    <t>44 - ФЗ</t>
  </si>
  <si>
    <t>Тарифный метод</t>
  </si>
  <si>
    <t>101,11*5122,93=512857</t>
  </si>
  <si>
    <t>44 -ФЗ</t>
  </si>
  <si>
    <t>61*126,60=7722,60</t>
  </si>
  <si>
    <t>4-ФЗ</t>
  </si>
  <si>
    <t>40+38+39,50=39,17</t>
  </si>
  <si>
    <t>44-Фз</t>
  </si>
  <si>
    <t>Нормативный метод</t>
  </si>
  <si>
    <t>45,10+41,40+50</t>
  </si>
  <si>
    <t>108995+108995+110000</t>
  </si>
  <si>
    <t>(440+550+538,66)/3=509,55</t>
  </si>
  <si>
    <t>Йогурт (115,50+120+159,33)/3=131,61 Ряженка (82+120+95,54)/3=99,18 Творожная масса (255+320+397,64)/3=324,21</t>
  </si>
  <si>
    <t>Сметана (224,50+300+269,69)/3=264,73 Сыр (386+550+501,09)/36 = 479,03</t>
  </si>
  <si>
    <t>(331+320+391,65)/3=347,55</t>
  </si>
  <si>
    <t>Мясо бескостное (476,63+377+472,34)/3=441,99 Мясо на кости (353,21+260+350,03)/3=321,08</t>
  </si>
  <si>
    <t>(245,35+144,30+238,83)/3=209,49</t>
  </si>
  <si>
    <t>Горбуша (234+374,64+234)/3=280,88 Минтай (150+203,88+115)/3=156,09 Филе минтая (201,50+297+218)/3=238,83 Сельдь (114,40+185,50+180)/3=159,97</t>
  </si>
  <si>
    <t>2*7554</t>
  </si>
  <si>
    <t>1*470962,66</t>
  </si>
  <si>
    <t>106*296,77=31457,62</t>
  </si>
  <si>
    <t>1*128513,76</t>
  </si>
  <si>
    <t>п.29 44-ФЗ</t>
  </si>
  <si>
    <t>(4878,00+6334,80+7464,10)/3=6225,55</t>
  </si>
  <si>
    <t>(41719,95+69038,15+80040,10)/3=63599,35</t>
  </si>
  <si>
    <t>(66600,00+92966,40+102897,60(/3=87489,60</t>
  </si>
  <si>
    <t>(69780,92+128080,40+161862,30)/3=119906,04</t>
  </si>
  <si>
    <t>(84493,30+131551,21+153911,73)/3=123319,22</t>
  </si>
  <si>
    <t>Сурова Вероника Петровна, Директор</t>
  </si>
  <si>
    <t>(Ф.И.О., должность руководителя (уполномоченного должностного лица) заказчика)</t>
  </si>
  <si>
    <t>(дата утверждения)</t>
  </si>
  <si>
    <t>СУРОВА ВЕРОНИКА ПЕТРОВНА</t>
  </si>
  <si>
    <t>М.П.</t>
  </si>
  <si>
    <t>(Ф.И.О. ответственного исполнителя)</t>
  </si>
  <si>
    <t xml:space="preserve"> Приобретение основных средств и (или) материальных запасов для осуществления видов деятельности бюджетных учреждений, предусмотренных учредительными документами</t>
  </si>
  <si>
    <t xml:space="preserve"> Приобретение основных средств и (или) материальных запасов для осуществления видов деятельности бюджетных учреждений, предусмотренных учредительными документами (оплата задолженности прошлых лет; оплата обязательств, принятых в 2016 году, выполненных в 2017 году)</t>
  </si>
  <si>
    <t xml:space="preserve">  Осуществление работ по разработке проектно-сметной документации, проведению государственнной экспертизы проектно-сметной документации, капитальному ремонту имущества, закрепленного за бюджетными учреждениями на праве оперативного управления</t>
  </si>
  <si>
    <t>Осуществление работ по разработке проектно-сметной документации, проведению государственнной экспертизы проектно-сметной документации, капитальному ремонту имущества, закрепленного за бюджетными учреждениями на праве оперативного управления (оплата задолженности прошлых лет; оплата обязательств, принятых в 2016 году, выполненных в 2017 году)</t>
  </si>
  <si>
    <t>Осуществление иных расходов, не относящихся к расходам, осуществляемым за счет средств субсидий на осуществление капитальных вложений в объекты капитального строительства государственной собственности Красноярского края и приобретение объектов недвижимого имущества в государственную собственность Красноярского края (согласно приложению)</t>
  </si>
  <si>
    <t>наименование расходов согласно приложению к перечню целевых субсидий</t>
  </si>
  <si>
    <t xml:space="preserve"> Осуществление иных расходов, не относящихся к расходам, осуществляемым за счет средств субсидий на осуществление капитальных вложений в объекты капитального строительства государственной собственности Красноярского края и приобретение объектов недвижимого имущества в государственную собственность Красноярского края  (оплата задолженности прошлых лет; оплата обязательств, принятых в 2016 году, выполненных в 2017 году)(согласно приложению)</t>
  </si>
  <si>
    <r>
      <t xml:space="preserve">на </t>
    </r>
    <r>
      <rPr>
        <b/>
        <u/>
        <sz val="12"/>
        <rFont val="Times New Roman"/>
        <family val="1"/>
        <charset val="204"/>
      </rPr>
      <t xml:space="preserve">2018 </t>
    </r>
    <r>
      <rPr>
        <b/>
        <sz val="12"/>
        <rFont val="Times New Roman"/>
        <family val="1"/>
        <charset val="204"/>
      </rPr>
      <t>год</t>
    </r>
  </si>
  <si>
    <t>Прочие работы (услуги) (Монтаж, демонтаж, установка оборудования, металлических конструкций, счетчика теплоэнергии и горячей воды, трехфазного счетчика, системы контроля и управления доступом (работы по  монтажу узла учета тепловой энергии ), (Монтаж умывальников  и ножных ванн в санитарных узлах )</t>
  </si>
  <si>
    <r>
      <t xml:space="preserve">на </t>
    </r>
    <r>
      <rPr>
        <b/>
        <u/>
        <sz val="12"/>
        <rFont val="Times New Roman"/>
        <family val="1"/>
        <charset val="204"/>
      </rPr>
      <t xml:space="preserve">2019 </t>
    </r>
    <r>
      <rPr>
        <b/>
        <sz val="12"/>
        <rFont val="Times New Roman"/>
        <family val="1"/>
        <charset val="204"/>
      </rPr>
      <t>год</t>
    </r>
  </si>
  <si>
    <r>
      <t xml:space="preserve">на </t>
    </r>
    <r>
      <rPr>
        <b/>
        <u/>
        <sz val="12"/>
        <rFont val="Times New Roman"/>
        <family val="1"/>
        <charset val="204"/>
      </rPr>
      <t xml:space="preserve">2020 </t>
    </r>
    <r>
      <rPr>
        <b/>
        <sz val="12"/>
        <rFont val="Times New Roman"/>
        <family val="1"/>
        <charset val="204"/>
      </rPr>
      <t>год</t>
    </r>
  </si>
  <si>
    <t xml:space="preserve">внести письмо в иные </t>
  </si>
  <si>
    <t>0220000610244</t>
  </si>
  <si>
    <t xml:space="preserve">приобретение  ученической мебели ( по предписанию) </t>
  </si>
  <si>
    <t>приобретение  учебников</t>
  </si>
  <si>
    <t>0220000610243</t>
  </si>
  <si>
    <t xml:space="preserve">капитальный ремонт здания школы                                       (устройство туалетных комнат и септика) </t>
  </si>
  <si>
    <t>монтаж, демонтаж, установка оборудования, металлических конструкций, счетчика теплоэнергии и горячей воды, трехфазного счетчика, системы контроля и управления доступом (работы по  монтажу узла учета тепловой энергии )</t>
  </si>
  <si>
    <t xml:space="preserve">монтаж умывальников  и ножных ванн в санитарных узлах </t>
  </si>
  <si>
    <t xml:space="preserve">приобретение теплового оборудования </t>
  </si>
  <si>
    <t>Функциональные, технические, качественные, эксплуатационные характеристики: 70 см</t>
  </si>
  <si>
    <t>Функциональные, технические, качественные, эксплуатационные характеристики: 50 мм</t>
  </si>
  <si>
    <t>Папка - Скоросшиватель</t>
  </si>
  <si>
    <t>Пластилин</t>
  </si>
  <si>
    <t>Функциональные, технические, качественные, эксплуатационные характеристики: 6 цветов</t>
  </si>
  <si>
    <t>Ручка шариковая</t>
  </si>
  <si>
    <t>Функциональные, технические, качественные, эксплуатационные характеристики: синяя</t>
  </si>
  <si>
    <t>Скрепки</t>
  </si>
  <si>
    <t>Функциональные, технические, качественные, эксплуатационные характеристики: 22 мм/укпаковка</t>
  </si>
  <si>
    <t>Степлер</t>
  </si>
  <si>
    <t>Функциональные, технические, качественные, эксплуатационные характеристики: 24/6</t>
  </si>
  <si>
    <t>тетрадь 12 кл</t>
  </si>
  <si>
    <t>Тетрадь</t>
  </si>
  <si>
    <t>Функциональные, технические, качественные, эксплуатационные характеристики: с линейкой на 20 листов</t>
  </si>
  <si>
    <t>Точилка</t>
  </si>
  <si>
    <t>Функциональные, технические, качественные, эксплуатационные характеристики: металлическая</t>
  </si>
  <si>
    <t>Файл А4</t>
  </si>
  <si>
    <t>Картриджи</t>
  </si>
  <si>
    <t>Поставка картриджей</t>
  </si>
  <si>
    <t>Планируемый срок (сроки отдельных этапов) поставки товаров (выполнения работ, оказания услуг): с апреля 2017 по декабрь 2017</t>
  </si>
  <si>
    <t>Картридж для Samsung ML-167x</t>
  </si>
  <si>
    <t>Поставка запасных частей к средствам автоматизации</t>
  </si>
  <si>
    <t>Поставка запасных частей к стредствам автоматизации</t>
  </si>
  <si>
    <t>Планируемый срок (сроки отдельных этапов) поставки товаров (выполнения работ, оказания услуг): декабрь 2017 года</t>
  </si>
  <si>
    <t>Привод</t>
  </si>
  <si>
    <t>Клавиатура</t>
  </si>
  <si>
    <t>Мышь беспроводная</t>
  </si>
  <si>
    <t>Видеокарта</t>
  </si>
  <si>
    <t>Материнская плата</t>
  </si>
  <si>
    <t>Процессор</t>
  </si>
  <si>
    <t>Комплектующие и принадлежности для автотранспортных средств, не включенные в другие группировки</t>
  </si>
  <si>
    <t>Поставка автозапчастей на автомобили ГАЗ 3502, УАЗ 3962, ПАЗ32053-70 ст 14 Закона 44-ФЗ</t>
  </si>
  <si>
    <t>Планируемый срок (сроки отдельных этапов) поставки товаров (выполнения работ, оказания услуг): с марта по декабрь по Заявке заказчика</t>
  </si>
  <si>
    <t>Гидроцилиндр самосвальной установки ГАЗ 3502</t>
  </si>
  <si>
    <t>Функциональные, технические, качественные, эксплуатационные характеристики: Самосвальный подрамник из жесткой профильной трубы. Гидроцилиндр ГАЗ 53 4-х штоковый со сферическими опорами.</t>
  </si>
  <si>
    <t>Гидроцилиндр ГАЗ 350253 4 штока</t>
  </si>
  <si>
    <t>Функциональные, технические, качественные, эксплуатационные характеристики:  Самосвальный подрамник из жесткой профильной трубы. Гидроцилиндр ГАЗ 53 4-х штоковый со сферическими опорами. Гидрораспределитель с предохранительным и обратным клапанами для блокировки самопроизвольного опускания платформы. Страховочный упор.</t>
  </si>
  <si>
    <t>Бак топливный подвесной УАЗ 3962</t>
  </si>
  <si>
    <t>Функциональные, технические, качественные, эксплуатационные характеристики: Объем 39 л</t>
  </si>
  <si>
    <t>Вал вторичный в сборе, УАЗ 3962</t>
  </si>
  <si>
    <t>Функциональные, технические, качественные, эксплуатационные характеристики: Вал редуктора вторичный с шестерней в сборе</t>
  </si>
  <si>
    <t>Механизм управления переключения передач УАЗ3962 в сборе</t>
  </si>
  <si>
    <t>Функциональные, технические, качественные, эксплуатационные характеристики: СОСТАВ: ползун; верхняя крышка картера коробки передач; вилка переключения 1 передачи и ЗХ; вилка переключения II и III передач; вилка переключения IV и V передач; шарик замкового устройства; корпус фиксатора; пружина фиксатора; штифт замкового устройства; шарик фиксатора; вентиляционный колпачок; пружина предохранительного устройства; шток; толкатель</t>
  </si>
  <si>
    <t>Вал вторичный в сборе ГАЗ3221</t>
  </si>
  <si>
    <t>кран тормозной двухсекционный</t>
  </si>
  <si>
    <t>Функциональные, технические, качественные, эксплуатационные характеристики: большой поршень, следящий и малый ступенчатые поршни, верхний и нижний клапаны, упругий элемент, толкатель, рычаг, шпилька и толкатель малого поршень</t>
  </si>
  <si>
    <t>Цилиндр тормозной главный (с бочком)</t>
  </si>
  <si>
    <t>Функциональные, технические, качественные, эксплуатационные характеристики: Главный тормозной цилиндр закреплен на крышке вакуумного усилителя тормозов. Над цилиндром расположен двухсекционный бачок с запасом тормозной жидкости, который соединяется с секциями главного цилиндра через компенсационные и перепускные отверстия.</t>
  </si>
  <si>
    <t>Шестерня вала коленчатого</t>
  </si>
  <si>
    <t>Функциональные, технические, качественные, эксплуатационные характеристики: нет</t>
  </si>
  <si>
    <t>Реле поворотов</t>
  </si>
  <si>
    <t>Барабан тормозной задний</t>
  </si>
  <si>
    <t>Функциональные, технические, качественные, эксплуатационные характеристики: Передний тормозной барабан автобуса ПАЗ-3205, выполнен из чугунного сплава</t>
  </si>
  <si>
    <t>Фильтр Масляный ПАЗ 32053-70</t>
  </si>
  <si>
    <t>Функциональные, технические, качественные, эксплуатационные характеристики: Масляный фильтр EKO-02.67. 3204-3407359, РГМ-620-1</t>
  </si>
  <si>
    <t>Лампа</t>
  </si>
  <si>
    <t>Функциональные, технические, качественные, эксплуатационные характеристики: Н4 R45 А12-60-55 ФАР</t>
  </si>
  <si>
    <t>Щелочной узел генератора ПАЗ 32053-70</t>
  </si>
  <si>
    <t>Функциональные, технические, качественные, эксплуатационные характеристики: электрооборудование</t>
  </si>
  <si>
    <t>Тяга поперечная</t>
  </si>
  <si>
    <t>Функциональные, технические, качественные, эксплуатационные характеристики: Тяга рулевая поперечная с наконечниками,</t>
  </si>
  <si>
    <t>Продукция электротехническая</t>
  </si>
  <si>
    <t>Электротехническая продукция ст. 14 44 - ФЗ</t>
  </si>
  <si>
    <t>23670.00/23670.00</t>
  </si>
  <si>
    <t>Планируемый срок (сроки отдельных этапов) поставки товаров (выполнения работ, оказания услуг): ноябрь 2017год</t>
  </si>
  <si>
    <t>Светильник светодиодный Новый свет "GSA 32-01-C-01",</t>
  </si>
  <si>
    <t>Провода и кабели электронные и электрические прочие</t>
  </si>
  <si>
    <t>Учебная, художественная литература</t>
  </si>
  <si>
    <t>закупка книг ст.14 44-ФЗ</t>
  </si>
  <si>
    <t>Планируемый срок (сроки отдельных этапов) поставки товаров (выполнения работ, оказания услуг): Август 2017 года</t>
  </si>
  <si>
    <t>Букварь В.В. Воронкова</t>
  </si>
  <si>
    <t>Функциональные, технические, качественные, эксплуатационные характеристики: 1 класс</t>
  </si>
  <si>
    <t>Математика Т.В. Алышева</t>
  </si>
  <si>
    <t>Функциональные, технические, качественные, эксплуатационные характеристики: учебник, твердая обложка</t>
  </si>
  <si>
    <t>Русский язык А.К. Аксенова</t>
  </si>
  <si>
    <t>Чтение С.В. Ильина</t>
  </si>
  <si>
    <t>Функциональные, технические, качественные, эксплуатационные характеристики: учебник,</t>
  </si>
  <si>
    <t>Математика, В.В. Эк</t>
  </si>
  <si>
    <t>Функциональные, технические, качественные, эксплуатационные характеристики: учебник</t>
  </si>
  <si>
    <t>Чтение С.Ю. Ильина</t>
  </si>
  <si>
    <t>Математика, М.Н. Перова</t>
  </si>
  <si>
    <t>Русский язык Э.В. Якубовская</t>
  </si>
  <si>
    <t>Технология (Ручной труд)</t>
  </si>
  <si>
    <t>Колбасные изделия ст14 ФЗ44</t>
  </si>
  <si>
    <t>Поставка колбасных изделий ст.14 44-ФЗ</t>
  </si>
  <si>
    <t>КС</t>
  </si>
  <si>
    <t>Колбаса вареная Докторская</t>
  </si>
  <si>
    <t>Функциональные, технические, качественные, эксплуатационные характеристики: категория А, внешний вид: батоны с чистой, сухой поверхностью. Консистенция: упругая</t>
  </si>
  <si>
    <t>Сосиски категория А</t>
  </si>
  <si>
    <t>Функциональные, технические, качественные, эксплуатационные характеристики: Внешний вид: батончики с чистой, сухой поверхностью. Консистенция: нежная, сочная</t>
  </si>
  <si>
    <t>Сардельки, категория Б</t>
  </si>
  <si>
    <t>Функциональные, технические, качественные, эксплуатационные характеристики: Внешний вид: батончики с чистой сухой поверхностью. Консистенция: упругая</t>
  </si>
  <si>
    <t>Какао, шоколад и изделия кондитерские сахаристые</t>
  </si>
  <si>
    <t>Поставка кондитерских изделий ст. 14 44-ФЗ</t>
  </si>
  <si>
    <t>Шоколадный батончик, масса нетто 45-80 г</t>
  </si>
  <si>
    <t>Функциональные, технические, качественные, эксплуатационные характеристики: Вкус и запах: вкус шоколада и пищевых ингредиентов, составляющих кондитерскую массу.</t>
  </si>
  <si>
    <t>Конфеты шоколадные с помадной начинкой, весовые</t>
  </si>
  <si>
    <t>Функциональные, технические, качественные, эксплуатационные характеристики: Конфета, содержащая не менее 25% отделяемой составной части шоколада от общей массы изделия. Вкус и запах: свойственные основному составу компонентов конфет с ясно выраженным вкусом и запахом</t>
  </si>
  <si>
    <t>Конфеты шоколадные с начинкой пралине, весовые</t>
  </si>
  <si>
    <t>Продукция мукомольно-крупяного производства</t>
  </si>
  <si>
    <t>Поставка крупы ст.14 ФЗ44</t>
  </si>
  <si>
    <t>Крупа пшеничная 1 сорт, весовая</t>
  </si>
  <si>
    <t>Функциональные, технические, качественные, эксплуатационные характеристики: потребительская упаковка мешок 45 кг. Без содержания посторонних примесей</t>
  </si>
  <si>
    <t>Крупа манная 1 сорт, весовая</t>
  </si>
  <si>
    <t>Функциональные, технические, качественные, эксплуатационные характеристики: потребительская упаковка мешок 50 кг. Без содержания посторонних примесей</t>
  </si>
  <si>
    <t>Крупа гречневая 1 сорт, весовая</t>
  </si>
  <si>
    <t>Киловар</t>
  </si>
  <si>
    <t>Крупа пшено 1 сорт, весовая</t>
  </si>
  <si>
    <t>Крупа перловая 1 сорт, весовая</t>
  </si>
  <si>
    <t>Горох колотый 1 сорт, весовой</t>
  </si>
  <si>
    <t>Лук репчатый ст.14 44-ФЗ</t>
  </si>
  <si>
    <t>лук репчатый</t>
  </si>
  <si>
    <t>Функциональные, технические, качественные, эксплуатационные характеристики: Луковицы, вызревшие, здоровые, чистые, целые, без повреждений сельскохозяйственными вредителями, типичной для ботанического сорта формы и окраски, с сухими наружными чешуями (рубашкой) и высушенной шейкой. Допускаются незначительные пятна и трещины на сухих чешуях, не переходящие на нижнюю сухую чешую, защищающую луковицу. Плоды сухие, без признаков прорастания пера и гнили, без признаков дряблости. Упаковка – сетчатый мешок</t>
  </si>
  <si>
    <t>Изделия макаронные</t>
  </si>
  <si>
    <t>Макаронные изделия ст.14 44-ФЗ</t>
  </si>
  <si>
    <t>Макаронные иделия</t>
  </si>
  <si>
    <t>Функциональные, технические, качественные, эксплуатационные характеристики: высший сорт, весовые, мешок, потребительская упаковка масса нетто 5 кг</t>
  </si>
  <si>
    <t>Молоко и молочная продукция</t>
  </si>
  <si>
    <t>Молок и молочная продукция ст.14 ФЗ44</t>
  </si>
  <si>
    <t>Функциональные, технические, качественные, эксплуатационные характеристики: массовая доля жира 3.2%, потребительская упаковка на основе полимерных материалов объем 0,9-1 литр</t>
  </si>
  <si>
    <t>Молочная продукция (сметана, сыр) ст14 ФЗ44</t>
  </si>
  <si>
    <t>Изменение планируемой даты начала осуществления закупки, сроков и (или) периодичности приобретения товаров, выполнения работ, оказания услуг, способа определения поставщика (подрядчика, исполнителя), этапов оплаты и (или) размера аванса и срока исполнения контракта</t>
  </si>
  <si>
    <t>Сметана, массовая доля жира 25%</t>
  </si>
  <si>
    <t>Функциональные, технические, качественные, эксплуатационные характеристики: потребительская упаковка масса 200-600 г</t>
  </si>
  <si>
    <t>Изделия сухарные и печенье; мучные кондитерские изделия, торты и пирожные длительного хранения</t>
  </si>
  <si>
    <t>Кондитерские изделия (мучные) ст.14 -44ФЗ</t>
  </si>
  <si>
    <t>Пряники весовые</t>
  </si>
  <si>
    <t>Функциональные, технические, качественные, эксплуатационные характеристики: Форма, цвет, вкус, запах: свойственные данному наименованию изделия с учетом вкусовых добавок, без посторонних запаха и привкуса. Единичное пряничное изделие, с выпуклой верхней поверхностью и ровной нижней поверхностью.</t>
  </si>
  <si>
    <t>Печенье сахарное, неглазированное, весовое</t>
  </si>
  <si>
    <t>Функциональные, технические, качественные, эксплуатационные характеристики: Печенье плоской формы с хрупкой, рассыпчатой, равномерной пористой структурой, без начинки, массовой долей общего сахара не более 35%, массовой долей жира не более 30%, массовой долей влаги не более 10% .Вкус и запах: выраженные, свойственные вкусу и запаху компонентов, входящих в рецептуру печенья, без посторонних привкуса и запаха.</t>
  </si>
  <si>
    <t>Вафли неглазированные, с начинкой, весовые</t>
  </si>
  <si>
    <t>Функциональные, технические, качественные, эксплуатационные характеристики: Вкус и запах: свойственные наименованию вафель, без постороннего привкуса и запаха.</t>
  </si>
  <si>
    <t>Мясо и прочие продукты убоя, включая мясо консервированное</t>
  </si>
  <si>
    <t>Мясо говядины охлажденное ст.44 ФЗ44</t>
  </si>
  <si>
    <t>Мясо говядины на кости</t>
  </si>
  <si>
    <t>Функциональные, технические, качественные, эксплуатационные характеристики: отрубы весом 3-5 кг, термическое состояние: охлажденное, промышленного забоя</t>
  </si>
  <si>
    <t>Мясо говядины бескостное (лопаточная часть)</t>
  </si>
  <si>
    <t>Функциональные, технические, качественные, эксплуатационные характеристики: термическое состояние: охлажденное, промышленного забоя. Отрубы весом не менее 500 г</t>
  </si>
  <si>
    <t>Мясо сельскохозяйственной птицы и прочие продукты убоя, включая консервированные</t>
  </si>
  <si>
    <t>Мясо птицы охлажденное ст.14 ФЗ44</t>
  </si>
  <si>
    <t>БС или КС</t>
  </si>
  <si>
    <t>Цыпленок-бройлер</t>
  </si>
  <si>
    <t>Продукция соковая из фруктов и овощей</t>
  </si>
  <si>
    <t>Сок ст14 ФЗ44</t>
  </si>
  <si>
    <t>БС</t>
  </si>
  <si>
    <t>Сок ананасовый</t>
  </si>
  <si>
    <t>Функциональные, технические, качественные, эксплуатационные характеристики: потребительская упаковка на основе картона, объем 0,2 литра</t>
  </si>
  <si>
    <t>Сок мультифрукт</t>
  </si>
  <si>
    <t>Рыба переработанная и консервированная, ракообразные и моллюски</t>
  </si>
  <si>
    <t>Свежая Рыба ст.14 44ФЗ</t>
  </si>
  <si>
    <t>Функциональные, технические, качественные, эксплуатационные характеристики: потрошеная, без головы, масса одной рыбы не менее 0,800 кг</t>
  </si>
  <si>
    <t>Терпуг свежемороженый, непотрошеный</t>
  </si>
  <si>
    <t>Функциональные, технические, качественные, эксплуатационные характеристики:  масса одной рыбы не менее 0,400 кг</t>
  </si>
  <si>
    <t>Сельдь слабосоленая, непотрошеная</t>
  </si>
  <si>
    <t>Функциональные, технические, качественные, эксплуатационные характеристики: упаковка - пластиковое ведро, масса нетто 9 кг (тара не возвратная)</t>
  </si>
  <si>
    <t>Фрукты, овощи и грибы переработанные и консервированные, не включенные в другие группировки</t>
  </si>
  <si>
    <t>Сухофрукты ст.14 ФЗ44</t>
  </si>
  <si>
    <t>Изюм:</t>
  </si>
  <si>
    <t>Функциональные, технические, качественные, эксплуатационные характеристики: виноград сушеный без косточки. Без признаков гнили</t>
  </si>
  <si>
    <t>Компот сухой весовой</t>
  </si>
  <si>
    <t>Функциональные, технические, качественные, эксплуатационные характеристики: Состав компотной смеси из сухофруктов: курага, чернослив, изюм, груши и яблоки. Без признаков гнили</t>
  </si>
  <si>
    <t>Птица сельскохозяйственная живая и яйца</t>
  </si>
  <si>
    <t>Яйца Куринные ст.14 - 44ФЗ</t>
  </si>
  <si>
    <t>Яйцо куриное столовое</t>
  </si>
  <si>
    <t>Функциональные, технические, качественные, эксплуатационные характеристики: 1 категории</t>
  </si>
  <si>
    <t>Изделия хлебобулочные; мучные кондитерские изделия, торты и пирожные недлительного хранения</t>
  </si>
  <si>
    <t>90719.72/90719.72</t>
  </si>
  <si>
    <t>Хлеб из пшеничной муки 1 сорта</t>
  </si>
  <si>
    <t>Функциональные, технические, качественные, эксплуатационные характеристики: масса булки 0,5-0,75 кг.</t>
  </si>
  <si>
    <t>Булочка из муки высшего сорта</t>
  </si>
  <si>
    <t>Функциональные, технические, качественные, эксплуатационные характеристики: масса нетто 100 г</t>
  </si>
  <si>
    <t>Сахар</t>
  </si>
  <si>
    <t>Сахар ст.14 ФЗ44</t>
  </si>
  <si>
    <t>Сахар - песок</t>
  </si>
  <si>
    <t>Сахар песок</t>
  </si>
  <si>
    <t>Прочие продукты питания (соль, рыба консервированная) ст.14 ФЗ44</t>
  </si>
  <si>
    <t>Планируемый срок (сроки отдельных этапов) поставки товаров (выполнения работ, оказания услуг): с момента заключения до 31 декабря 2017 года</t>
  </si>
  <si>
    <t>Сайра натуральная с добавлением масла</t>
  </si>
  <si>
    <t>Функциональные, технические, качественные, эксплуатационные характеристики: жестяная банка, масса нетто 220-250 г</t>
  </si>
  <si>
    <t>Сельдь натуральная с добавлением масла</t>
  </si>
  <si>
    <t>Соль поваренная пищевая</t>
  </si>
  <si>
    <t>Функциональные, технические, качественные, эксплуатационные характеристики: йодированная упаковка 1 кг</t>
  </si>
  <si>
    <t>Прочие продукты питания ст.14 44ФЗ</t>
  </si>
  <si>
    <t>Горошек зеленый</t>
  </si>
  <si>
    <t>Функциональные, технические, качественные, эксплуатационные характеристики: консервированный, без добавления уксуса, масса нетто 320-400 г</t>
  </si>
  <si>
    <t>Икра кабачковая</t>
  </si>
  <si>
    <t>Функциональные, технические, качественные, эксплуатационные характеристики: стеклобанка, масса нетто 350-6020гр</t>
  </si>
  <si>
    <t>Кукуруза консервированная</t>
  </si>
  <si>
    <t>Функциональные, технические, качественные, эксплуатационные характеристики: без добавления уксуса, жестяная банка масса нетто 320-400 г</t>
  </si>
  <si>
    <t>Томаты в собственном соку</t>
  </si>
  <si>
    <t>Функциональные, технические, качественные, эксплуатационные характеристики: без добавления уксуса, стеклобанка, масса нетто 600-1000 г.</t>
  </si>
  <si>
    <t>Компот вишня</t>
  </si>
  <si>
    <t>Функциональные, технические, качественные, эксплуатационные характеристики: стеклобанка или жестяная банка, масса нетто 530-850 г</t>
  </si>
  <si>
    <t>Компот абрикосовый</t>
  </si>
  <si>
    <t>Функциональные, технические, качественные, эксплуатационные характеристики: стеклобанка, масса нетто 530-850 г</t>
  </si>
  <si>
    <t>Компот персик</t>
  </si>
  <si>
    <t>Функциональные, технические, качественные, эксплуатационные характеристики: стеклобанка, масса нетто 580-850</t>
  </si>
  <si>
    <t>Масло подсолнечное</t>
  </si>
  <si>
    <t>Функциональные, технические, качественные, эксплуатационные характеристики: рафинированное, бутылка, объем 1 литр</t>
  </si>
  <si>
    <t>Функциональные, технические, качественные, эксплуатационные характеристики: высший сорт, упаковка 10 кг</t>
  </si>
  <si>
    <t>Какао-порошок без добавок сахара</t>
  </si>
  <si>
    <t>Функциональные, технические, качественные, эксплуатационные характеристики:  масса нетто 90-250 г</t>
  </si>
  <si>
    <t>Кисель плодово-ягодный</t>
  </si>
  <si>
    <t>Функциональные, технические, качественные, эксплуатационные характеристики: масса нетто 200-220 г</t>
  </si>
  <si>
    <t>Поставка молочной продукции (Творог) ст.14 ФЗ44</t>
  </si>
  <si>
    <t>Творог,</t>
  </si>
  <si>
    <t>Функциональные, технические, качественные, эксплуатационные характеристики:  массовая доля жира 9%, потребительская упаковка масса 150-200 г</t>
  </si>
  <si>
    <t>Рыба 1 полугодие 2017 года</t>
  </si>
  <si>
    <t>Планируемый срок (сроки отдельных этапов) поставки товаров (выполнения работ, оказания услуг): с 09 января 2017 года до 31 декабря 2017 года</t>
  </si>
  <si>
    <t>Функциональные, технические, качественные, эксплуатационные характеристики: потрошеный, без головы, масса одной рыбы не менее 0,300 кг</t>
  </si>
  <si>
    <t>Сельдь слабосоленая</t>
  </si>
  <si>
    <t>Функциональные, технические, качественные, эксплуатационные характеристики: непотрошеная, упаковка - пластиковое ведро, масса нетто 9 кг (тара не возвратная)</t>
  </si>
  <si>
    <t>Приправы и пряности</t>
  </si>
  <si>
    <t>Прочие продукты питания 1 полугодие 2017 года</t>
  </si>
  <si>
    <t>10806.30/10806.30</t>
  </si>
  <si>
    <t>Планируемый срок (сроки отдельных этапов) поставки товаров (выполнения работ, оказания услуг): с 11 января 2017 по 30 июня 2017 года</t>
  </si>
  <si>
    <t>томатная паста</t>
  </si>
  <si>
    <t>Функциональные, технические, качественные, эксплуатационные характеристики: масса нетто 10-50 г</t>
  </si>
  <si>
    <t>Петрушка сушеная упаковка масса нетто 10-20 г</t>
  </si>
  <si>
    <t>Функциональные, технические, качественные, эксплуатационные характеристики: пачка масса нетто 10-100 г</t>
  </si>
  <si>
    <t>Сода пищевая пачка (картон),</t>
  </si>
  <si>
    <t>Функциональные, технические, качественные, эксплуатационные характеристики:  масса нетто 500-1000 г</t>
  </si>
  <si>
    <t>Услуги по поставке Воды питьевой</t>
  </si>
  <si>
    <t>Поставка питьевой воды здание интерната, начальной школы</t>
  </si>
  <si>
    <t>Планируемый срок (сроки отдельных этапов) поставки товаров (выполнения работ, оказания услуг): с 01 июля 2017 года по 31 декабря 2017 года</t>
  </si>
  <si>
    <t>Услуги по поставке питьевой воды ст.14 ФЗ44</t>
  </si>
  <si>
    <t>Услуги по транспортированию горячей воды в зданиях (основной школы, гаража, теплицы, прачечной)</t>
  </si>
  <si>
    <t>Услуги по транспортировке горячей воды ст.14 ФЗ 44</t>
  </si>
  <si>
    <t>Планируемый срок (сроки отдельных этапов) поставки товаров (выполнения работ, оказания услуг): с 15 сентября 2017 по 31 октября 2017</t>
  </si>
  <si>
    <t>Услуги по транспортированию горячей воды</t>
  </si>
  <si>
    <t>Услуги по опорожнению и чистке выгребных ям, сточных колодцев и септиков</t>
  </si>
  <si>
    <t>Откачка септика ст.14 ФЗ44</t>
  </si>
  <si>
    <t>20180.36/54165.09</t>
  </si>
  <si>
    <t>Планируемый срок (сроки отдельных этапов) поставки товаров (выполнения работ, оказания услуг): с 01 сентября до 31 декабря 2017 года</t>
  </si>
  <si>
    <t>Фрукты 2 полугодие 2017 года</t>
  </si>
  <si>
    <t>Фрукты ст.14 ФЗ44</t>
  </si>
  <si>
    <t>Функциональные, технические, качественные, эксплуатационные характеристики: , без следов повреждения (гнили). Плоды свежие, целые, здоровые, без поврежденной кожицы и плода болезнями и вредителями</t>
  </si>
  <si>
    <t>Функциональные, технические, качественные, эксплуатационные характеристики: без следов повреждения (гнили). Плоды свежие, целые, здоровые, без поврежденной кожицы и плода болезнями и вредителями.</t>
  </si>
  <si>
    <t>Апельсины свежие,</t>
  </si>
  <si>
    <t>Функциональные, технические, качественные, эксплуатационные характеристики: без следов повреждения (гнили). Плоды свежие, целые, здоровые, без поврежденной кожицы и плода болезнями и вредителями</t>
  </si>
  <si>
    <t>Пюре томатное</t>
  </si>
  <si>
    <t>Прочие продукты питания (томатная паста) ст.14 44 ФЗ</t>
  </si>
  <si>
    <t>Паста томатная</t>
  </si>
  <si>
    <t>Функциональные, технические, качественные, эксплуатационные характеристики: без добавления уксуса, масса нетто 500-1000 г</t>
  </si>
  <si>
    <t>Молочные продукты (йогурт, ряженка) ст.14 ФЗ44</t>
  </si>
  <si>
    <t>Функциональные, технические, качественные, эксплуатационные характеристики: массовая доля жира 2,5%, потребительская упаковка на основе картона масса нетто 400-500 г. массовая доля жира 2,5%, потребительская упаковка на основе картона масса нетто 400-500 г.</t>
  </si>
  <si>
    <t>Функциональные, технические, качественные, эксплуатационные характеристики: массовая доля жира 1-2.5%, потребительская упаковка масса нетто 300-500 г.</t>
  </si>
  <si>
    <t>Продукт кисломолочный «Ряженка»</t>
  </si>
  <si>
    <t>Функциональные, технические, качественные, эксплуатационные характеристики: массовая доля жира 2,5%, потребительская упаковка на основе картона масса нетто 400-500 г.</t>
  </si>
  <si>
    <t>Овощи и культуры бахчевые, корнеплоды и клубнеплоды</t>
  </si>
  <si>
    <t>Овощи свежие</t>
  </si>
  <si>
    <t>Планируемый срок (сроки отдельных этапов) поставки товаров (выполнения работ, оказания услуг): с момента заключения до 31 августа 2018 года</t>
  </si>
  <si>
    <t>Капуста свежая</t>
  </si>
  <si>
    <t>Картофель свежий</t>
  </si>
  <si>
    <t>Морковь свежая</t>
  </si>
  <si>
    <t>Свекла свежая</t>
  </si>
  <si>
    <t>Услуги по транспортированию горячей воды здание (интерната, начальная школа)</t>
  </si>
  <si>
    <t>услуги по поставке тепло энергии в здании интерната и начальной школы</t>
  </si>
  <si>
    <t>теплоэнергия</t>
  </si>
  <si>
    <t>Услуги по торговле водой, поставляемой по трубопроводам (здание основная школа, теплица, гараж, прачечная)</t>
  </si>
  <si>
    <t>Питьевая вода</t>
  </si>
  <si>
    <t>Бензин АИ - 92</t>
  </si>
  <si>
    <t>Способ определения поставщика (подрядчика, исполнителя), установленный Правительством Российской Федерации в соответствии со ст. 111 Федерального закона № 44-ФЗ с особенностями в соответствии со статьей 111 Закона 44-ФЗ</t>
  </si>
  <si>
    <t>Планируемый срок (сроки отдельных этапов) поставки товаров (выполнения работ, оказания услуг): с момента заключения до 30.06.2017 года</t>
  </si>
  <si>
    <t>с момента заключения до 31.122017</t>
  </si>
  <si>
    <t>Банзин</t>
  </si>
  <si>
    <t>Части бытовых электрических приборов (тэны электрические)</t>
  </si>
  <si>
    <t>Тэны электрические</t>
  </si>
  <si>
    <t>Планируемый срок (сроки отдельных этапов) поставки товаров (выполнения работ, оказания услуг): с момента заключения до 30.06.2017</t>
  </si>
  <si>
    <t>Функциональные, технические, качественные, эксплуатационные характеристики: для мармита</t>
  </si>
  <si>
    <t>Тэна электрическая</t>
  </si>
  <si>
    <t>Бензин автомобильный с октановым числом более 92, на первое полугодие 2018г</t>
  </si>
  <si>
    <t>Автомобильный бензин АИ - 92</t>
  </si>
  <si>
    <t>Планируемый срок (сроки отдельных этапов) поставки товаров (выполнения работ, оказания услуг): с 01.01.2018 по 30.06.2018</t>
  </si>
  <si>
    <t>Бензин автомобильный АИ - 92</t>
  </si>
  <si>
    <t>Функциональные, технические, качественные, эксплуатационные характеристики: Октановое число (по исследовательскому методу) - не менее 92 (параметр не требует конкретизации)</t>
  </si>
  <si>
    <t>Масла моторные для карбюраторных двигателей</t>
  </si>
  <si>
    <t>Масло моторное</t>
  </si>
  <si>
    <t>Строительные материалы</t>
  </si>
  <si>
    <t>Планируемый срок (сроки отдельных этапов) поставки товаров (выполнения работ, оказания услуг): с моментазаключения до 31.12.2017</t>
  </si>
  <si>
    <t>Трубы, трубки, шланги и рукава из вулканизированной резины, кроме твердой резины (эбонита)</t>
  </si>
  <si>
    <t>Сантехнические изделия</t>
  </si>
  <si>
    <t>71750.10/71750.10</t>
  </si>
  <si>
    <t>сантехнические изделия</t>
  </si>
  <si>
    <t>Пиломатериалы из осины</t>
  </si>
  <si>
    <t>Доска обрезная</t>
  </si>
  <si>
    <t>Доска</t>
  </si>
  <si>
    <t>Функциональные, технические, качественные, эксплуатационные характеристики: обрезная</t>
  </si>
  <si>
    <t>Услуги по ремонту и техническому обслуживанию автомтрнспорта</t>
  </si>
  <si>
    <t>Учебники</t>
  </si>
  <si>
    <t>Поставка учебной литературы</t>
  </si>
  <si>
    <t>Учебник Воронкова</t>
  </si>
  <si>
    <t>Принадлежности канцелярские бумажные</t>
  </si>
  <si>
    <t>Ручка канцерлярская</t>
  </si>
  <si>
    <t>Ручка канцелярская</t>
  </si>
  <si>
    <t>Продукты пищевые прочие, не включенные в другие группировки</t>
  </si>
  <si>
    <t>Прочиет продукты питания</t>
  </si>
  <si>
    <t>Мягкий крендель</t>
  </si>
  <si>
    <t>Филе минтая.</t>
  </si>
  <si>
    <t>Чеснок свежий</t>
  </si>
  <si>
    <t>Крупа рис длиннозерный</t>
  </si>
  <si>
    <t>Масло сливочное, массовая доля жира 72.5%</t>
  </si>
  <si>
    <t>Говядина тушеная, высший сорт</t>
  </si>
  <si>
    <t>Сыр полутвердых сортов, массовая доля жира 45%</t>
  </si>
  <si>
    <t>Джем фруктово-ягодный</t>
  </si>
  <si>
    <t>Курага:</t>
  </si>
  <si>
    <t>Чернослив без косточки</t>
  </si>
  <si>
    <t>Шиповник сушеный: сушёные ягоды без косточек.</t>
  </si>
  <si>
    <t>Фасоль, консервированная без уксуса</t>
  </si>
  <si>
    <t>Сметана "Простоквашино"</t>
  </si>
  <si>
    <t>Огурцы консервированные</t>
  </si>
  <si>
    <t>Молоко сгущенное цельное с сахаром.</t>
  </si>
  <si>
    <t>Сок яблочный стеклобанка объем 3 литра</t>
  </si>
  <si>
    <t>Сок вишневый стеклобанка объем 3 литра</t>
  </si>
  <si>
    <t>Сок виноградный стеклобанка объем 3 литра</t>
  </si>
  <si>
    <t>Томаты консервированные</t>
  </si>
  <si>
    <t>Масло сливочное, массовая доля жира 72.5%, монолит, потребительская упаковка масса нетто 20 кг</t>
  </si>
  <si>
    <t>Планируемый срок (сроки отдельных этапов) поставки товаров (выполнения работ, оказания услуг): с момента заключения до 31 марта 2019 года</t>
  </si>
  <si>
    <t>Функциональные, технические, качественные, эксплуатационные характеристики: массовая доля жира 72.5%, монолит, потребительская упаковка масса нетто 20 кг</t>
  </si>
  <si>
    <t>Молоко и молочная продукция (Йогурт, Кефир, Ряженка)</t>
  </si>
  <si>
    <t>Планируемый срок (сроки отдельных этапов) поставки товаров (выполнения работ, оказания услуг): с момента заключения до 31.03.2019</t>
  </si>
  <si>
    <t>Йогурт с фруктовыми наполнителями,</t>
  </si>
  <si>
    <t>Функциональные, технические, качественные, эксплуатационные характеристики:  массовая доля жира 1-2.5%, потребительская упаковка масса нетто 300-500 г.</t>
  </si>
  <si>
    <t>Творожная масса с наполнителем,</t>
  </si>
  <si>
    <t>Функциональные, технические, качественные, эксплуатационные характеристики:  массовая доля жира 4,5%, потребительская упаковка масса 200-300 г.</t>
  </si>
  <si>
    <t>Продукты кисломолочные (Сметана, сыр)</t>
  </si>
  <si>
    <t>Молоко и молочные продукты (сметана, сыр)</t>
  </si>
  <si>
    <t>Сыр</t>
  </si>
  <si>
    <t>Функциональные, технические, качественные, эксплуатационные характеристики: полутвердых сортов, массовая доля жира 45-65%</t>
  </si>
  <si>
    <t>Сметана,</t>
  </si>
  <si>
    <t>Функциональные, технические, качественные, эксплуатационные характеристики: массовая доля жира 25%, потребительская упаковка масса 200-600 г</t>
  </si>
  <si>
    <t>Молоко и молочная продукция (Творог)</t>
  </si>
  <si>
    <t>Молочная продукция (творог)</t>
  </si>
  <si>
    <t>Планируемый срок (сроки отдельных этапов) поставки товаров (выполнения работ, оказания услуг): с момент заключения до 31.03.2019</t>
  </si>
  <si>
    <t>Постановление м Правительства от 22.08.2016 № 832</t>
  </si>
  <si>
    <t>Функциональные, технические, качественные, эксплуатационные характеристики: Творог, массовая доля жира 9%, потребительская упаковка масса 200-500 г</t>
  </si>
  <si>
    <t>Мясо и прочие продукты убоя, (Мясо говядины, охлажденное)</t>
  </si>
  <si>
    <t>Постановление Правительства РФ от 22.08.2016 № 832</t>
  </si>
  <si>
    <t>Функциональные, технические, качественные, эксплуатационные характеристики:  отрубы весом 3-5 кг, термическое состояние: охлажденное, промышленного забоя</t>
  </si>
  <si>
    <t>Мясо кур, в том числе цыплят (включая цыплят-бройлеров) охлажденное</t>
  </si>
  <si>
    <t>Цыпленок-бройлер, потрошеный, охлажденный сорт: первый. Охлажденное с температурой от минус 2 °С до плюс 4 °С включительно</t>
  </si>
  <si>
    <t>Постановление Правительства РФ от 22.08ю2016 №832</t>
  </si>
  <si>
    <t>Функциональные, технические, качественные, эксплуатационные характеристики: потрошеный, охлажденный сорт: первый. Охлажденное с температурой от минус 2 °С до плюс 4 °С включительно</t>
  </si>
  <si>
    <t>Рыба свежемороженная</t>
  </si>
  <si>
    <t>Постановление Правительства РФ от 22.08.2016 №832</t>
  </si>
  <si>
    <t>Горбуша свежемороженая,</t>
  </si>
  <si>
    <t>Минтай свежемороженый,</t>
  </si>
  <si>
    <t>Филе минтая свежемороженое</t>
  </si>
  <si>
    <t>Функциональные, технические, качественные, эксплуатационные характеристики: Филе минтая свежемороженое</t>
  </si>
  <si>
    <t>Функциональные, технические, качественные, эксплуатационные характеристики:  непотрошеная, упаковка - пластиковое ведро, масса нетто 9 кг (тара не возвратная)</t>
  </si>
  <si>
    <t>Услуги скорой медицинской помощи, в области прохождения предрейсового и послерейсового медицинского осмотра водителей</t>
  </si>
  <si>
    <t>Планируемый срок (сроки отдельных этапов) поставки товаров (выполнения работ, оказания услуг): октябрь - декабрь 2017</t>
  </si>
  <si>
    <t>Услуги медицинского осмотра водителей</t>
  </si>
  <si>
    <t>Энергия тепловая, отпущенная котельными</t>
  </si>
  <si>
    <t>Планируемый срок (сроки отдельных этапов) поставки товаров (выполнения работ, оказания услуг): ноябрь - декабрь 2017 год</t>
  </si>
  <si>
    <t>Откачка септика</t>
  </si>
  <si>
    <t>Электроэнергия, произведенная конденсационными электростанциями (КЭС) общего назначения</t>
  </si>
  <si>
    <t>Киловатт-час</t>
  </si>
  <si>
    <t>Поставка продуктов питания прочих на первое полугодие 2018 года</t>
  </si>
  <si>
    <t>Планируемый срок (сроки отдельных этапов) поставки товаров (выполнения работ, оказания услуг): С момента заключения контракта по 30 июня 2018 года</t>
  </si>
  <si>
    <t>Молоко сгущенное (концентрированное) стерилизованное</t>
  </si>
  <si>
    <t>Соль пищевая поваренная йодированная</t>
  </si>
  <si>
    <t>Смеси сушеных фруктов (сухой компот)</t>
  </si>
  <si>
    <t>Виноград сушеный (изюм)</t>
  </si>
  <si>
    <t>Курага</t>
  </si>
  <si>
    <t>Колбаса вареная Докторская, категория А</t>
  </si>
  <si>
    <t>Сосиски мясные</t>
  </si>
  <si>
    <t>Сардельки мясные</t>
  </si>
  <si>
    <t>Чернослив</t>
  </si>
  <si>
    <t>Вафли и облатки вафельные</t>
  </si>
  <si>
    <t>Печенье сладкое</t>
  </si>
  <si>
    <t>Шиповник сушеный</t>
  </si>
  <si>
    <t>Поставка сока на первое полугодие 2018 года</t>
  </si>
  <si>
    <t>Планируемый срок (сроки отдельных этапов) поставки товаров (выполнения работ, оказания услуг): С момента заключения контракта по 30 июня 2018 года.</t>
  </si>
  <si>
    <t>Сок персиковый</t>
  </si>
  <si>
    <t>Сок яблочный восстановленный</t>
  </si>
  <si>
    <t>Сок апельсиновый восстановленный</t>
  </si>
  <si>
    <t>Поставка фруктов свежих на первое полугодие 2018 года</t>
  </si>
  <si>
    <t>Груши</t>
  </si>
  <si>
    <t>Апельсины</t>
  </si>
  <si>
    <t>Бананы</t>
  </si>
  <si>
    <t>Мандарины, включая танжерины, клементины и аналогичные гибриды цитрусовых культур</t>
  </si>
  <si>
    <t>Лимоны и лаймы</t>
  </si>
  <si>
    <t>Яблоки</t>
  </si>
  <si>
    <t>Поставка продуктов питания на первое полугодие 2018 года</t>
  </si>
  <si>
    <t>Рис полуобрушенный или полностью обрушенный, или дробленый</t>
  </si>
  <si>
    <t>Компоты фруктовые и ягодные</t>
  </si>
  <si>
    <t>Мука пшеничная хлебопекарная высшего сорта</t>
  </si>
  <si>
    <t>Геркулес</t>
  </si>
  <si>
    <t>Пшено</t>
  </si>
  <si>
    <t>Порошок какао без добавок сахара или других подслащивающих веществ</t>
  </si>
  <si>
    <t>Шоколад молочный в упакованном виде</t>
  </si>
  <si>
    <t>Фасоль, консервированная без уксуса или уксусной кислоты (кроме готовых блюд из овощей)</t>
  </si>
  <si>
    <t>Джемы, желе фруктовые и ягодные</t>
  </si>
  <si>
    <t>Горох, консервированный без уксуса или уксусной кислоты (кроме готовых блюд из овощей)</t>
  </si>
  <si>
    <t>Кисели на плодово-ягодной основе (сухой кисель)</t>
  </si>
  <si>
    <t>Макароны</t>
  </si>
  <si>
    <t>Масло подсолнечное и его фракции рафинированные, но не подвергнутые химической модификации</t>
  </si>
</sst>
</file>

<file path=xl/styles.xml><?xml version="1.0" encoding="utf-8"?>
<styleSheet xmlns="http://schemas.openxmlformats.org/spreadsheetml/2006/main">
  <numFmts count="25">
    <numFmt numFmtId="164" formatCode="_-* #,##0.00&quot;р.&quot;_-;\-* #,##0.00&quot;р.&quot;_-;_-* &quot;-&quot;??&quot;р.&quot;_-;_-@_-"/>
    <numFmt numFmtId="165" formatCode="_-* #,##0.00_р_._-;\-* #,##0.00_р_._-;_-* &quot;-&quot;??_р_._-;_-@_-"/>
    <numFmt numFmtId="166" formatCode="#,##0.00_ ;\-#,##0.00\ "/>
    <numFmt numFmtId="167" formatCode="#,##0.0"/>
    <numFmt numFmtId="168" formatCode="0.0"/>
    <numFmt numFmtId="169" formatCode="_(* #,##0.00_);_(* \(#,##0.00\);_(* &quot;-&quot;??_);_(@_)"/>
    <numFmt numFmtId="170" formatCode="0.00;[Red]0.00"/>
    <numFmt numFmtId="171" formatCode="\О\б\щ\и\й"/>
    <numFmt numFmtId="172" formatCode="\1"/>
    <numFmt numFmtId="173" formatCode="0000"/>
    <numFmt numFmtId="174" formatCode="000"/>
    <numFmt numFmtId="175" formatCode="#,##0.00_р_."/>
    <numFmt numFmtId="176" formatCode="[$-419]mmmm\ yyyy;@"/>
    <numFmt numFmtId="177" formatCode="#,##0.00_ ;[Red]\-#,##0.00\ "/>
    <numFmt numFmtId="178" formatCode="0.0;[Red]0.0"/>
    <numFmt numFmtId="179" formatCode="0;[Red]0"/>
    <numFmt numFmtId="180" formatCode="#,##0.00;[Red]#,##0.00"/>
    <numFmt numFmtId="181" formatCode="#,##0.0;[Red]#,##0.0"/>
    <numFmt numFmtId="182" formatCode="[$-419]General"/>
    <numFmt numFmtId="183" formatCode="#,##0.00&quot; &quot;[$руб.-419];[Red]&quot;-&quot;#,##0.00&quot; &quot;[$руб.-419]"/>
    <numFmt numFmtId="184" formatCode="0.00_ ;[Red]\-0.00\ "/>
    <numFmt numFmtId="185" formatCode="_(* #,##0.0000_);_(* \(#,##0.0000\);_(* &quot;-&quot;??_);_(@_)"/>
    <numFmt numFmtId="186" formatCode="0.000"/>
    <numFmt numFmtId="187" formatCode="_-* #,##0_р_._-;\-* #,##0_р_._-;_-* &quot;-&quot;??_р_._-;_-@_-"/>
    <numFmt numFmtId="188" formatCode="_-* #,##0.00000_р_._-;\-* #,##0.00000_р_._-;_-* &quot;-&quot;??_р_._-;_-@_-"/>
  </numFmts>
  <fonts count="155">
    <font>
      <sz val="11"/>
      <color theme="1"/>
      <name val="Calibri"/>
      <family val="2"/>
      <charset val="204"/>
      <scheme val="minor"/>
    </font>
    <font>
      <sz val="11"/>
      <color indexed="8"/>
      <name val="Calibri"/>
      <family val="2"/>
      <charset val="204"/>
    </font>
    <font>
      <sz val="11"/>
      <color indexed="8"/>
      <name val="Times New Roman"/>
      <family val="1"/>
      <charset val="204"/>
    </font>
    <font>
      <b/>
      <sz val="11"/>
      <color indexed="8"/>
      <name val="Times New Roman"/>
      <family val="1"/>
      <charset val="204"/>
    </font>
    <font>
      <sz val="10"/>
      <name val="Times New Roman"/>
      <family val="1"/>
      <charset val="204"/>
    </font>
    <font>
      <sz val="11"/>
      <name val="Times New Roman"/>
      <family val="1"/>
      <charset val="204"/>
    </font>
    <font>
      <b/>
      <sz val="11"/>
      <name val="Times New Roman"/>
      <family val="1"/>
      <charset val="204"/>
    </font>
    <font>
      <sz val="11"/>
      <color indexed="10"/>
      <name val="Times New Roman"/>
      <family val="1"/>
      <charset val="204"/>
    </font>
    <font>
      <sz val="10"/>
      <name val="Arial Cyr"/>
      <charset val="204"/>
    </font>
    <font>
      <sz val="10"/>
      <name val="Arial Cyr"/>
      <family val="2"/>
      <charset val="204"/>
    </font>
    <font>
      <sz val="8"/>
      <name val="Arial Cyr"/>
      <family val="2"/>
      <charset val="204"/>
    </font>
    <font>
      <sz val="10"/>
      <name val="Arial"/>
      <family val="2"/>
      <charset val="204"/>
    </font>
    <font>
      <sz val="10"/>
      <name val="Helv"/>
      <charset val="204"/>
    </font>
    <font>
      <sz val="11"/>
      <color indexed="8"/>
      <name val="Calibri"/>
      <family val="2"/>
      <charset val="204"/>
    </font>
    <font>
      <sz val="11"/>
      <color indexed="10"/>
      <name val="Times New Roman"/>
      <family val="1"/>
      <charset val="204"/>
    </font>
    <font>
      <i/>
      <sz val="11"/>
      <name val="Times New Roman"/>
      <family val="1"/>
      <charset val="204"/>
    </font>
    <font>
      <sz val="11"/>
      <color indexed="12"/>
      <name val="Times New Roman"/>
      <family val="1"/>
      <charset val="204"/>
    </font>
    <font>
      <sz val="8"/>
      <name val="Times New Roman"/>
      <family val="1"/>
      <charset val="204"/>
    </font>
    <font>
      <b/>
      <sz val="10"/>
      <name val="Times New Roman"/>
      <family val="1"/>
      <charset val="204"/>
    </font>
    <font>
      <i/>
      <sz val="7"/>
      <color indexed="8"/>
      <name val="Times New Roman"/>
      <family val="1"/>
      <charset val="204"/>
    </font>
    <font>
      <b/>
      <sz val="8"/>
      <name val="Times New Roman"/>
      <family val="1"/>
      <charset val="204"/>
    </font>
    <font>
      <b/>
      <sz val="14"/>
      <color indexed="8"/>
      <name val="Times New Roman"/>
      <family val="1"/>
      <charset val="204"/>
    </font>
    <font>
      <sz val="12"/>
      <color indexed="8"/>
      <name val="Times New Roman"/>
      <family val="1"/>
      <charset val="204"/>
    </font>
    <font>
      <b/>
      <sz val="12"/>
      <color indexed="8"/>
      <name val="Times New Roman"/>
      <family val="1"/>
      <charset val="204"/>
    </font>
    <font>
      <sz val="14"/>
      <name val="Times New Roman"/>
      <family val="1"/>
      <charset val="204"/>
    </font>
    <font>
      <sz val="12"/>
      <name val="Times New Roman"/>
      <family val="1"/>
      <charset val="204"/>
    </font>
    <font>
      <u/>
      <sz val="12"/>
      <name val="Times New Roman"/>
      <family val="1"/>
      <charset val="204"/>
    </font>
    <font>
      <b/>
      <sz val="14"/>
      <name val="Times New Roman"/>
      <family val="1"/>
      <charset val="204"/>
    </font>
    <font>
      <b/>
      <sz val="12"/>
      <name val="Times New Roman"/>
      <family val="1"/>
      <charset val="204"/>
    </font>
    <font>
      <sz val="12"/>
      <name val="Arial Cyr"/>
      <charset val="204"/>
    </font>
    <font>
      <sz val="11"/>
      <name val="Calibri"/>
      <family val="2"/>
      <charset val="204"/>
    </font>
    <font>
      <u/>
      <sz val="10"/>
      <color indexed="12"/>
      <name val="Arial Cyr"/>
      <charset val="204"/>
    </font>
    <font>
      <sz val="9"/>
      <name val="Times New Roman"/>
      <family val="1"/>
      <charset val="204"/>
    </font>
    <font>
      <sz val="14"/>
      <name val="Arial Cyr"/>
      <charset val="204"/>
    </font>
    <font>
      <sz val="7"/>
      <name val="Times New Roman"/>
      <family val="1"/>
      <charset val="204"/>
    </font>
    <font>
      <sz val="6.5"/>
      <name val="Times New Roman"/>
      <family val="1"/>
      <charset val="204"/>
    </font>
    <font>
      <b/>
      <sz val="9"/>
      <name val="Times New Roman"/>
      <family val="1"/>
      <charset val="204"/>
    </font>
    <font>
      <b/>
      <i/>
      <sz val="7"/>
      <name val="Times New Roman"/>
      <family val="1"/>
      <charset val="204"/>
    </font>
    <font>
      <sz val="12"/>
      <name val="Calibri"/>
      <family val="2"/>
      <charset val="204"/>
    </font>
    <font>
      <sz val="12"/>
      <color indexed="9"/>
      <name val="Times New Roman"/>
      <family val="1"/>
      <charset val="204"/>
    </font>
    <font>
      <sz val="12"/>
      <color indexed="8"/>
      <name val="Times New Roman"/>
      <family val="1"/>
      <charset val="204"/>
    </font>
    <font>
      <b/>
      <i/>
      <sz val="12"/>
      <name val="Times New Roman"/>
      <family val="1"/>
      <charset val="204"/>
    </font>
    <font>
      <i/>
      <sz val="12"/>
      <name val="Times New Roman"/>
      <family val="1"/>
      <charset val="204"/>
    </font>
    <font>
      <sz val="12"/>
      <color indexed="14"/>
      <name val="Times New Roman"/>
      <family val="1"/>
      <charset val="204"/>
    </font>
    <font>
      <sz val="12"/>
      <color indexed="10"/>
      <name val="Times New Roman"/>
      <family val="1"/>
      <charset val="204"/>
    </font>
    <font>
      <u/>
      <sz val="12"/>
      <color indexed="10"/>
      <name val="Times New Roman"/>
      <family val="1"/>
      <charset val="204"/>
    </font>
    <font>
      <b/>
      <u/>
      <sz val="12"/>
      <name val="Times New Roman"/>
      <family val="1"/>
      <charset val="204"/>
    </font>
    <font>
      <b/>
      <sz val="12"/>
      <color indexed="10"/>
      <name val="Times New Roman"/>
      <family val="1"/>
      <charset val="204"/>
    </font>
    <font>
      <sz val="12"/>
      <color indexed="9"/>
      <name val="Times New Roman"/>
      <family val="1"/>
      <charset val="204"/>
    </font>
    <font>
      <sz val="12"/>
      <color indexed="8"/>
      <name val="Times New Roman"/>
      <family val="1"/>
      <charset val="204"/>
    </font>
    <font>
      <u/>
      <sz val="12"/>
      <color indexed="8"/>
      <name val="Times New Roman"/>
      <family val="1"/>
      <charset val="204"/>
    </font>
    <font>
      <sz val="11"/>
      <name val="Arial"/>
      <family val="2"/>
      <charset val="204"/>
    </font>
    <font>
      <sz val="12"/>
      <name val="Arial"/>
      <family val="2"/>
      <charset val="204"/>
    </font>
    <font>
      <b/>
      <i/>
      <sz val="12"/>
      <name val="Arial"/>
      <family val="2"/>
      <charset val="204"/>
    </font>
    <font>
      <sz val="12"/>
      <name val="Times New Roman"/>
      <family val="1"/>
      <charset val="204"/>
    </font>
    <font>
      <b/>
      <u/>
      <sz val="14"/>
      <name val="Times New Roman"/>
      <family val="1"/>
      <charset val="204"/>
    </font>
    <font>
      <b/>
      <sz val="12"/>
      <name val="Calibri"/>
      <family val="2"/>
      <charset val="204"/>
    </font>
    <font>
      <b/>
      <sz val="10"/>
      <name val="Arial Cyr"/>
      <charset val="204"/>
    </font>
    <font>
      <i/>
      <sz val="10"/>
      <name val="Arial Cyr"/>
      <charset val="204"/>
    </font>
    <font>
      <sz val="11"/>
      <color indexed="10"/>
      <name val="Calibri"/>
      <family val="2"/>
      <charset val="204"/>
    </font>
    <font>
      <b/>
      <sz val="12"/>
      <name val="Arial"/>
      <family val="2"/>
      <charset val="204"/>
    </font>
    <font>
      <sz val="10"/>
      <color indexed="12"/>
      <name val="Arial Cyr"/>
      <charset val="204"/>
    </font>
    <font>
      <sz val="10"/>
      <color indexed="12"/>
      <name val="Arial"/>
      <family val="2"/>
      <charset val="204"/>
    </font>
    <font>
      <b/>
      <sz val="10"/>
      <name val="Arial"/>
      <family val="2"/>
      <charset val="204"/>
    </font>
    <font>
      <b/>
      <sz val="10"/>
      <color indexed="9"/>
      <name val="Arial Cyr"/>
      <charset val="204"/>
    </font>
    <font>
      <b/>
      <sz val="10"/>
      <color indexed="9"/>
      <name val="Arial"/>
      <family val="2"/>
      <charset val="204"/>
    </font>
    <font>
      <b/>
      <sz val="11"/>
      <name val="Arial"/>
      <family val="2"/>
      <charset val="204"/>
    </font>
    <font>
      <sz val="10"/>
      <color indexed="9"/>
      <name val="Arial Cyr"/>
      <charset val="204"/>
    </font>
    <font>
      <b/>
      <sz val="9"/>
      <name val="Arial"/>
      <family val="2"/>
      <charset val="204"/>
    </font>
    <font>
      <sz val="11"/>
      <color indexed="8"/>
      <name val="Times New Roman"/>
      <family val="1"/>
      <charset val="204"/>
    </font>
    <font>
      <sz val="10"/>
      <color indexed="10"/>
      <name val="Arial Cyr"/>
      <charset val="204"/>
    </font>
    <font>
      <sz val="12.65"/>
      <color indexed="63"/>
      <name val="Arial"/>
      <family val="2"/>
      <charset val="204"/>
    </font>
    <font>
      <sz val="12.65"/>
      <color indexed="8"/>
      <name val="Arial"/>
      <family val="2"/>
      <charset val="204"/>
    </font>
    <font>
      <sz val="8"/>
      <name val="Times New Roman"/>
      <family val="1"/>
    </font>
    <font>
      <sz val="10"/>
      <name val="Times New Roman"/>
      <family val="1"/>
    </font>
    <font>
      <sz val="12"/>
      <name val="Times New Roman"/>
      <family val="1"/>
    </font>
    <font>
      <b/>
      <sz val="12"/>
      <name val="Times New Roman"/>
      <family val="1"/>
    </font>
    <font>
      <b/>
      <sz val="10"/>
      <name val="Times New Roman"/>
      <family val="1"/>
    </font>
    <font>
      <sz val="11"/>
      <name val="Times New Roman"/>
      <family val="1"/>
    </font>
    <font>
      <sz val="12"/>
      <color indexed="12"/>
      <name val="Times New Roman"/>
      <family val="1"/>
      <charset val="204"/>
    </font>
    <font>
      <b/>
      <sz val="12"/>
      <color indexed="8"/>
      <name val="Times New Roman"/>
      <family val="1"/>
      <charset val="204"/>
    </font>
    <font>
      <b/>
      <sz val="11"/>
      <color indexed="12"/>
      <name val="Times New Roman"/>
      <family val="1"/>
      <charset val="204"/>
    </font>
    <font>
      <sz val="12"/>
      <color indexed="17"/>
      <name val="Times New Roman"/>
      <family val="1"/>
      <charset val="204"/>
    </font>
    <font>
      <b/>
      <sz val="14"/>
      <color indexed="9"/>
      <name val="Times New Roman"/>
      <family val="1"/>
      <charset val="204"/>
    </font>
    <font>
      <b/>
      <sz val="14"/>
      <color indexed="10"/>
      <name val="Times New Roman"/>
      <family val="1"/>
      <charset val="204"/>
    </font>
    <font>
      <sz val="10"/>
      <color indexed="9"/>
      <name val="Times New Roman"/>
      <family val="1"/>
    </font>
    <font>
      <sz val="11"/>
      <color indexed="9"/>
      <name val="Times New Roman"/>
      <family val="1"/>
      <charset val="204"/>
    </font>
    <font>
      <sz val="10"/>
      <color indexed="12"/>
      <name val="Times New Roman"/>
      <family val="1"/>
      <charset val="204"/>
    </font>
    <font>
      <sz val="10"/>
      <color indexed="10"/>
      <name val="Times New Roman"/>
      <family val="1"/>
      <charset val="204"/>
    </font>
    <font>
      <i/>
      <sz val="8"/>
      <name val="Times New Roman"/>
      <family val="1"/>
      <charset val="204"/>
    </font>
    <font>
      <b/>
      <sz val="11"/>
      <color indexed="8"/>
      <name val="Times New Roman"/>
      <family val="1"/>
      <charset val="204"/>
    </font>
    <font>
      <sz val="12"/>
      <color indexed="17"/>
      <name val="Times New Roman"/>
      <family val="1"/>
      <charset val="204"/>
    </font>
    <font>
      <b/>
      <sz val="9"/>
      <color indexed="81"/>
      <name val="Tahoma"/>
      <family val="2"/>
      <charset val="204"/>
    </font>
    <font>
      <sz val="9"/>
      <color indexed="81"/>
      <name val="Tahoma"/>
      <family val="2"/>
      <charset val="204"/>
    </font>
    <font>
      <b/>
      <sz val="8"/>
      <color indexed="81"/>
      <name val="Tahoma"/>
      <family val="2"/>
      <charset val="204"/>
    </font>
    <font>
      <sz val="8"/>
      <color indexed="81"/>
      <name val="Tahoma"/>
      <family val="2"/>
      <charset val="204"/>
    </font>
    <font>
      <b/>
      <sz val="8"/>
      <name val="Arial"/>
      <family val="2"/>
      <charset val="204"/>
    </font>
    <font>
      <sz val="8"/>
      <name val="Arial"/>
      <family val="2"/>
      <charset val="204"/>
    </font>
    <font>
      <b/>
      <u/>
      <sz val="10"/>
      <name val="Arial Cyr"/>
      <family val="2"/>
      <charset val="204"/>
    </font>
    <font>
      <b/>
      <sz val="10"/>
      <name val="Arial CYR"/>
      <family val="2"/>
      <charset val="204"/>
    </font>
    <font>
      <b/>
      <u/>
      <sz val="10"/>
      <name val="Arial"/>
      <family val="2"/>
      <charset val="204"/>
    </font>
    <font>
      <b/>
      <i/>
      <sz val="10"/>
      <name val="Arial"/>
      <family val="2"/>
      <charset val="204"/>
    </font>
    <font>
      <b/>
      <i/>
      <sz val="11"/>
      <name val="Times New Roman"/>
      <family val="1"/>
      <charset val="204"/>
    </font>
    <font>
      <b/>
      <u/>
      <sz val="12"/>
      <name val="Times New Roman"/>
      <family val="1"/>
    </font>
    <font>
      <u/>
      <sz val="11"/>
      <name val="Times New Roman"/>
      <family val="1"/>
      <charset val="204"/>
    </font>
    <font>
      <u/>
      <sz val="11"/>
      <color indexed="10"/>
      <name val="Times New Roman"/>
      <family val="1"/>
      <charset val="204"/>
    </font>
    <font>
      <i/>
      <sz val="12"/>
      <color indexed="8"/>
      <name val="Times New Roman"/>
      <family val="1"/>
      <charset val="204"/>
    </font>
    <font>
      <b/>
      <sz val="9"/>
      <color indexed="8"/>
      <name val="Times New Roman"/>
      <family val="1"/>
      <charset val="204"/>
    </font>
    <font>
      <sz val="11"/>
      <color indexed="55"/>
      <name val="Times New Roman"/>
      <family val="1"/>
      <charset val="204"/>
    </font>
    <font>
      <sz val="12"/>
      <color indexed="55"/>
      <name val="Times New Roman"/>
      <family val="1"/>
      <charset val="204"/>
    </font>
    <font>
      <sz val="8"/>
      <color indexed="9"/>
      <name val="Times New Roman"/>
      <family val="1"/>
      <charset val="204"/>
    </font>
    <font>
      <b/>
      <u/>
      <sz val="11"/>
      <name val="Times New Roman"/>
      <family val="1"/>
      <charset val="204"/>
    </font>
    <font>
      <sz val="14"/>
      <name val="Times New Roman"/>
      <family val="1"/>
    </font>
    <font>
      <sz val="12"/>
      <color indexed="12"/>
      <name val="Times New Roman"/>
      <family val="1"/>
      <charset val="204"/>
    </font>
    <font>
      <i/>
      <sz val="10"/>
      <name val="Times New Roman"/>
      <family val="1"/>
      <charset val="204"/>
    </font>
    <font>
      <sz val="12"/>
      <color indexed="21"/>
      <name val="Times New Roman"/>
      <family val="1"/>
      <charset val="204"/>
    </font>
    <font>
      <sz val="8"/>
      <name val="Calibri"/>
      <family val="2"/>
      <charset val="204"/>
    </font>
    <font>
      <b/>
      <i/>
      <sz val="12"/>
      <color indexed="8"/>
      <name val="Times New Roman"/>
      <family val="1"/>
      <charset val="204"/>
    </font>
    <font>
      <sz val="11"/>
      <color indexed="8"/>
      <name val="Calibri"/>
      <family val="2"/>
      <charset val="204"/>
    </font>
    <font>
      <i/>
      <sz val="11"/>
      <color indexed="8"/>
      <name val="Calibri"/>
      <family val="2"/>
      <charset val="204"/>
    </font>
    <font>
      <sz val="12"/>
      <color indexed="8"/>
      <name val="Times New Roman"/>
      <family val="1"/>
      <charset val="204"/>
    </font>
    <font>
      <sz val="11"/>
      <color indexed="8"/>
      <name val="Times New Roman"/>
      <family val="1"/>
      <charset val="204"/>
    </font>
    <font>
      <b/>
      <sz val="12"/>
      <color indexed="8"/>
      <name val="Times New Roman"/>
      <family val="1"/>
      <charset val="204"/>
    </font>
    <font>
      <sz val="10"/>
      <color indexed="8"/>
      <name val="Times New Roman"/>
      <family val="1"/>
      <charset val="204"/>
    </font>
    <font>
      <sz val="11"/>
      <color indexed="8"/>
      <name val="Calibri"/>
      <family val="2"/>
      <charset val="204"/>
    </font>
    <font>
      <sz val="10"/>
      <color indexed="8"/>
      <name val="Calibri"/>
      <family val="2"/>
      <charset val="204"/>
    </font>
    <font>
      <b/>
      <sz val="11"/>
      <color indexed="8"/>
      <name val="Calibri"/>
      <family val="2"/>
      <charset val="204"/>
    </font>
    <font>
      <b/>
      <u/>
      <sz val="11"/>
      <color indexed="8"/>
      <name val="Calibri"/>
      <family val="2"/>
      <charset val="204"/>
    </font>
    <font>
      <b/>
      <sz val="6"/>
      <color indexed="8"/>
      <name val="Calibri"/>
      <family val="2"/>
      <charset val="204"/>
    </font>
    <font>
      <sz val="6"/>
      <color indexed="8"/>
      <name val="Calibri"/>
      <family val="2"/>
      <charset val="204"/>
    </font>
    <font>
      <sz val="12"/>
      <color indexed="8"/>
      <name val="Times New Roman"/>
      <family val="1"/>
      <charset val="204"/>
    </font>
    <font>
      <sz val="11"/>
      <color indexed="8"/>
      <name val="Times New Roman"/>
      <family val="1"/>
      <charset val="204"/>
    </font>
    <font>
      <sz val="11"/>
      <color indexed="10"/>
      <name val="Times New Roman"/>
      <family val="1"/>
      <charset val="204"/>
    </font>
    <font>
      <i/>
      <sz val="12"/>
      <color indexed="8"/>
      <name val="Times New Roman"/>
      <family val="1"/>
      <charset val="204"/>
    </font>
    <font>
      <sz val="11"/>
      <color theme="1"/>
      <name val="Calibri"/>
      <family val="2"/>
      <charset val="204"/>
      <scheme val="minor"/>
    </font>
    <font>
      <sz val="11"/>
      <color theme="0"/>
      <name val="Calibri"/>
      <family val="2"/>
      <charset val="204"/>
      <scheme val="minor"/>
    </font>
    <font>
      <sz val="10"/>
      <color theme="1"/>
      <name val="Arial Cyr"/>
      <charset val="204"/>
    </font>
    <font>
      <b/>
      <i/>
      <sz val="16"/>
      <color theme="1"/>
      <name val="Arial"/>
      <family val="2"/>
      <charset val="204"/>
    </font>
    <font>
      <b/>
      <i/>
      <u/>
      <sz val="11"/>
      <color theme="1"/>
      <name val="Arial"/>
      <family val="2"/>
      <charset val="204"/>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b/>
      <sz val="11"/>
      <color theme="1"/>
      <name val="Calibri"/>
      <family val="2"/>
      <charset val="204"/>
      <scheme val="minor"/>
    </font>
    <font>
      <b/>
      <sz val="11"/>
      <color theme="0"/>
      <name val="Calibri"/>
      <family val="2"/>
      <charset val="204"/>
      <scheme val="minor"/>
    </font>
    <font>
      <b/>
      <sz val="18"/>
      <color theme="3"/>
      <name val="Cambria"/>
      <family val="2"/>
      <charset val="204"/>
      <scheme val="major"/>
    </font>
    <font>
      <sz val="11"/>
      <color rgb="FF9C6500"/>
      <name val="Calibri"/>
      <family val="2"/>
      <charset val="204"/>
      <scheme val="minor"/>
    </font>
    <font>
      <sz val="11"/>
      <color rgb="FF000000"/>
      <name val="Calibri"/>
      <family val="2"/>
      <charset val="204"/>
      <scheme val="minor"/>
    </font>
    <font>
      <sz val="11"/>
      <color rgb="FF9C0006"/>
      <name val="Calibri"/>
      <family val="2"/>
      <charset val="204"/>
      <scheme val="minor"/>
    </font>
    <font>
      <i/>
      <sz val="11"/>
      <color rgb="FF7F7F7F"/>
      <name val="Calibri"/>
      <family val="2"/>
      <charset val="204"/>
      <scheme val="minor"/>
    </font>
    <font>
      <sz val="11"/>
      <color rgb="FFFA7D00"/>
      <name val="Calibri"/>
      <family val="2"/>
      <charset val="204"/>
      <scheme val="minor"/>
    </font>
    <font>
      <sz val="11"/>
      <color rgb="FFFF0000"/>
      <name val="Calibri"/>
      <family val="2"/>
      <charset val="204"/>
      <scheme val="minor"/>
    </font>
    <font>
      <sz val="11"/>
      <color rgb="FF006100"/>
      <name val="Calibri"/>
      <family val="2"/>
      <charset val="204"/>
      <scheme val="minor"/>
    </font>
  </fonts>
  <fills count="47">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52"/>
        <bgColor indexed="64"/>
      </patternFill>
    </fill>
    <fill>
      <patternFill patternType="solid">
        <fgColor indexed="10"/>
        <bgColor indexed="64"/>
      </patternFill>
    </fill>
    <fill>
      <patternFill patternType="solid">
        <fgColor indexed="11"/>
        <bgColor indexed="64"/>
      </patternFill>
    </fill>
    <fill>
      <patternFill patternType="solid">
        <fgColor indexed="13"/>
        <bgColor indexed="64"/>
      </patternFill>
    </fill>
    <fill>
      <patternFill patternType="solid">
        <fgColor indexed="51"/>
        <bgColor indexed="64"/>
      </patternFill>
    </fill>
    <fill>
      <patternFill patternType="solid">
        <fgColor indexed="50"/>
        <bgColor indexed="64"/>
      </patternFill>
    </fill>
    <fill>
      <patternFill patternType="solid">
        <fgColor indexed="40"/>
        <bgColor indexed="64"/>
      </patternFill>
    </fill>
    <fill>
      <patternFill patternType="solid">
        <fgColor indexed="46"/>
        <bgColor indexed="64"/>
      </patternFill>
    </fill>
    <fill>
      <patternFill patternType="solid">
        <fgColor indexed="17"/>
        <bgColor indexed="64"/>
      </patternFill>
    </fill>
    <fill>
      <patternFill patternType="solid">
        <fgColor indexed="41"/>
        <bgColor indexed="64"/>
      </patternFill>
    </fill>
    <fill>
      <patternFill patternType="solid">
        <fgColor indexed="47"/>
        <bgColor indexed="64"/>
      </patternFill>
    </fill>
    <fill>
      <patternFill patternType="solid">
        <fgColor indexed="4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EB9C"/>
      </patternFill>
    </fill>
    <fill>
      <patternFill patternType="solid">
        <fgColor rgb="FFFFC7CE"/>
      </patternFill>
    </fill>
    <fill>
      <patternFill patternType="solid">
        <fgColor rgb="FFFFFFCC"/>
      </patternFill>
    </fill>
    <fill>
      <patternFill patternType="solid">
        <fgColor rgb="FFC6EFCE"/>
      </patternFill>
    </fill>
  </fills>
  <borders count="8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mediumDashDotDot">
        <color indexed="64"/>
      </right>
      <top style="mediumDashDotDot">
        <color indexed="64"/>
      </top>
      <bottom/>
      <diagonal/>
    </border>
    <border>
      <left/>
      <right style="mediumDashDotDot">
        <color indexed="64"/>
      </right>
      <top/>
      <bottom/>
      <diagonal/>
    </border>
    <border>
      <left style="mediumDashDotDot">
        <color indexed="64"/>
      </left>
      <right/>
      <top/>
      <bottom/>
      <diagonal/>
    </border>
    <border>
      <left style="mediumDashDotDot">
        <color indexed="64"/>
      </left>
      <right/>
      <top/>
      <bottom style="mediumDashDotDot">
        <color indexed="64"/>
      </bottom>
      <diagonal/>
    </border>
    <border>
      <left/>
      <right/>
      <top/>
      <bottom style="mediumDashDotDot">
        <color indexed="64"/>
      </bottom>
      <diagonal/>
    </border>
    <border>
      <left/>
      <right style="mediumDashDotDot">
        <color indexed="64"/>
      </right>
      <top/>
      <bottom style="mediumDashDotDot">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mediumDashDotDot">
        <color indexed="64"/>
      </top>
      <bottom/>
      <diagonal/>
    </border>
    <border>
      <left style="thin">
        <color indexed="64"/>
      </left>
      <right style="thin">
        <color indexed="64"/>
      </right>
      <top/>
      <bottom/>
      <diagonal/>
    </border>
    <border>
      <left style="hair">
        <color indexed="64"/>
      </left>
      <right/>
      <top/>
      <bottom style="hair">
        <color indexed="64"/>
      </bottom>
      <diagonal/>
    </border>
    <border>
      <left/>
      <right/>
      <top/>
      <bottom style="hair">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right/>
      <top style="thin">
        <color indexed="64"/>
      </top>
      <bottom style="thin">
        <color indexed="64"/>
      </bottom>
      <diagonal/>
    </border>
    <border>
      <left/>
      <right/>
      <top/>
      <bottom style="medium">
        <color indexed="8"/>
      </bottom>
      <diagonal/>
    </border>
    <border>
      <left/>
      <right/>
      <top/>
      <bottom style="medium">
        <color indexed="9"/>
      </bottom>
      <diagonal/>
    </border>
    <border>
      <left style="medium">
        <color indexed="63"/>
      </left>
      <right style="medium">
        <color indexed="63"/>
      </right>
      <top style="medium">
        <color indexed="63"/>
      </top>
      <bottom style="medium">
        <color indexed="63"/>
      </bottom>
      <diagonal/>
    </border>
    <border>
      <left style="medium">
        <color indexed="63"/>
      </left>
      <right style="medium">
        <color indexed="63"/>
      </right>
      <top/>
      <bottom style="medium">
        <color indexed="63"/>
      </bottom>
      <diagonal/>
    </border>
    <border>
      <left/>
      <right style="medium">
        <color indexed="8"/>
      </right>
      <top/>
      <bottom style="medium">
        <color indexed="8"/>
      </bottom>
      <diagonal/>
    </border>
    <border>
      <left style="medium">
        <color indexed="8"/>
      </left>
      <right style="medium">
        <color indexed="8"/>
      </right>
      <top/>
      <bottom style="medium">
        <color indexed="8"/>
      </bottom>
      <diagonal/>
    </border>
    <border>
      <left/>
      <right style="medium">
        <color indexed="8"/>
      </right>
      <top/>
      <bottom/>
      <diagonal/>
    </border>
    <border>
      <left style="medium">
        <color indexed="8"/>
      </left>
      <right style="medium">
        <color indexed="8"/>
      </right>
      <top style="medium">
        <color indexed="8"/>
      </top>
      <bottom style="medium">
        <color indexed="8"/>
      </bottom>
      <diagonal/>
    </border>
    <border>
      <left/>
      <right style="medium">
        <color indexed="8"/>
      </right>
      <top style="medium">
        <color indexed="8"/>
      </top>
      <bottom style="medium">
        <color indexed="8"/>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DashDotDot">
        <color indexed="64"/>
      </left>
      <right/>
      <top style="mediumDashDotDot">
        <color indexed="64"/>
      </top>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63"/>
      </right>
      <top/>
      <bottom/>
      <diagonal/>
    </border>
    <border>
      <left style="medium">
        <color indexed="63"/>
      </left>
      <right style="medium">
        <color indexed="63"/>
      </right>
      <top style="medium">
        <color indexed="63"/>
      </top>
      <bottom/>
      <diagonal/>
    </border>
    <border>
      <left/>
      <right/>
      <top style="medium">
        <color indexed="8"/>
      </top>
      <bottom/>
      <diagonal/>
    </border>
    <border>
      <left style="medium">
        <color indexed="63"/>
      </left>
      <right/>
      <top style="medium">
        <color indexed="63"/>
      </top>
      <bottom style="medium">
        <color indexed="63"/>
      </bottom>
      <diagonal/>
    </border>
    <border>
      <left/>
      <right style="medium">
        <color indexed="63"/>
      </right>
      <top style="medium">
        <color indexed="63"/>
      </top>
      <bottom style="medium">
        <color indexed="63"/>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dashed">
        <color indexed="64"/>
      </top>
      <bottom/>
      <diagonal/>
    </border>
    <border>
      <left/>
      <right/>
      <top style="thin">
        <color indexed="64"/>
      </top>
      <bottom style="dashed">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s>
  <cellStyleXfs count="98">
    <xf numFmtId="0" fontId="0" fillId="0" borderId="0"/>
    <xf numFmtId="0" fontId="134" fillId="16" borderId="0" applyNumberFormat="0" applyBorder="0" applyAlignment="0" applyProtection="0"/>
    <xf numFmtId="0" fontId="134" fillId="17" borderId="0" applyNumberFormat="0" applyBorder="0" applyAlignment="0" applyProtection="0"/>
    <xf numFmtId="0" fontId="134" fillId="18" borderId="0" applyNumberFormat="0" applyBorder="0" applyAlignment="0" applyProtection="0"/>
    <xf numFmtId="0" fontId="134" fillId="19" borderId="0" applyNumberFormat="0" applyBorder="0" applyAlignment="0" applyProtection="0"/>
    <xf numFmtId="0" fontId="134" fillId="20" borderId="0" applyNumberFormat="0" applyBorder="0" applyAlignment="0" applyProtection="0"/>
    <xf numFmtId="0" fontId="134" fillId="21" borderId="0" applyNumberFormat="0" applyBorder="0" applyAlignment="0" applyProtection="0"/>
    <xf numFmtId="0" fontId="134" fillId="22" borderId="0" applyNumberFormat="0" applyBorder="0" applyAlignment="0" applyProtection="0"/>
    <xf numFmtId="0" fontId="134" fillId="23" borderId="0" applyNumberFormat="0" applyBorder="0" applyAlignment="0" applyProtection="0"/>
    <xf numFmtId="0" fontId="134" fillId="24" borderId="0" applyNumberFormat="0" applyBorder="0" applyAlignment="0" applyProtection="0"/>
    <xf numFmtId="0" fontId="134" fillId="25" borderId="0" applyNumberFormat="0" applyBorder="0" applyAlignment="0" applyProtection="0"/>
    <xf numFmtId="0" fontId="134" fillId="26" borderId="0" applyNumberFormat="0" applyBorder="0" applyAlignment="0" applyProtection="0"/>
    <xf numFmtId="0" fontId="134" fillId="27" borderId="0" applyNumberFormat="0" applyBorder="0" applyAlignment="0" applyProtection="0"/>
    <xf numFmtId="0" fontId="135" fillId="28" borderId="0" applyNumberFormat="0" applyBorder="0" applyAlignment="0" applyProtection="0"/>
    <xf numFmtId="0" fontId="135" fillId="29" borderId="0" applyNumberFormat="0" applyBorder="0" applyAlignment="0" applyProtection="0"/>
    <xf numFmtId="0" fontId="135" fillId="30" borderId="0" applyNumberFormat="0" applyBorder="0" applyAlignment="0" applyProtection="0"/>
    <xf numFmtId="0" fontId="135" fillId="31" borderId="0" applyNumberFormat="0" applyBorder="0" applyAlignment="0" applyProtection="0"/>
    <xf numFmtId="0" fontId="135" fillId="32" borderId="0" applyNumberFormat="0" applyBorder="0" applyAlignment="0" applyProtection="0"/>
    <xf numFmtId="0" fontId="135" fillId="33" borderId="0" applyNumberFormat="0" applyBorder="0" applyAlignment="0" applyProtection="0"/>
    <xf numFmtId="182" fontId="136" fillId="0" borderId="0"/>
    <xf numFmtId="0" fontId="137" fillId="0" borderId="0">
      <alignment horizontal="center"/>
    </xf>
    <xf numFmtId="0" fontId="137" fillId="0" borderId="0">
      <alignment horizontal="center" textRotation="90"/>
    </xf>
    <xf numFmtId="0" fontId="138" fillId="0" borderId="0"/>
    <xf numFmtId="183" fontId="138" fillId="0" borderId="0"/>
    <xf numFmtId="0" fontId="9" fillId="0" borderId="0"/>
    <xf numFmtId="0" fontId="135" fillId="34" borderId="0" applyNumberFormat="0" applyBorder="0" applyAlignment="0" applyProtection="0"/>
    <xf numFmtId="0" fontId="135" fillId="35" borderId="0" applyNumberFormat="0" applyBorder="0" applyAlignment="0" applyProtection="0"/>
    <xf numFmtId="0" fontId="135" fillId="36" borderId="0" applyNumberFormat="0" applyBorder="0" applyAlignment="0" applyProtection="0"/>
    <xf numFmtId="0" fontId="135" fillId="37" borderId="0" applyNumberFormat="0" applyBorder="0" applyAlignment="0" applyProtection="0"/>
    <xf numFmtId="0" fontId="135" fillId="38" borderId="0" applyNumberFormat="0" applyBorder="0" applyAlignment="0" applyProtection="0"/>
    <xf numFmtId="0" fontId="135" fillId="39" borderId="0" applyNumberFormat="0" applyBorder="0" applyAlignment="0" applyProtection="0"/>
    <xf numFmtId="0" fontId="139" fillId="40" borderId="80" applyNumberFormat="0" applyAlignment="0" applyProtection="0"/>
    <xf numFmtId="0" fontId="140" fillId="41" borderId="81" applyNumberFormat="0" applyAlignment="0" applyProtection="0"/>
    <xf numFmtId="0" fontId="141" fillId="41" borderId="80" applyNumberFormat="0" applyAlignment="0" applyProtection="0"/>
    <xf numFmtId="0" fontId="31" fillId="0" borderId="0" applyNumberFormat="0" applyFill="0" applyBorder="0" applyAlignment="0" applyProtection="0">
      <alignment vertical="top"/>
      <protection locked="0"/>
    </xf>
    <xf numFmtId="164" fontId="1" fillId="0" borderId="0" applyFont="0" applyFill="0" applyBorder="0" applyAlignment="0" applyProtection="0"/>
    <xf numFmtId="164" fontId="8" fillId="0" borderId="0" applyFont="0" applyFill="0" applyBorder="0" applyAlignment="0" applyProtection="0"/>
    <xf numFmtId="0" fontId="142" fillId="0" borderId="82" applyNumberFormat="0" applyFill="0" applyAlignment="0" applyProtection="0"/>
    <xf numFmtId="0" fontId="143" fillId="0" borderId="83" applyNumberFormat="0" applyFill="0" applyAlignment="0" applyProtection="0"/>
    <xf numFmtId="0" fontId="144" fillId="0" borderId="84" applyNumberFormat="0" applyFill="0" applyAlignment="0" applyProtection="0"/>
    <xf numFmtId="0" fontId="144" fillId="0" borderId="0" applyNumberFormat="0" applyFill="0" applyBorder="0" applyAlignment="0" applyProtection="0"/>
    <xf numFmtId="0" fontId="145" fillId="0" borderId="85" applyNumberFormat="0" applyFill="0" applyAlignment="0" applyProtection="0"/>
    <xf numFmtId="0" fontId="146" fillId="42" borderId="86" applyNumberFormat="0" applyAlignment="0" applyProtection="0"/>
    <xf numFmtId="0" fontId="147" fillId="0" borderId="0" applyNumberFormat="0" applyFill="0" applyBorder="0" applyAlignment="0" applyProtection="0"/>
    <xf numFmtId="0" fontId="148" fillId="43" borderId="0" applyNumberFormat="0" applyBorder="0" applyAlignment="0" applyProtection="0"/>
    <xf numFmtId="0" fontId="8" fillId="0" borderId="0"/>
    <xf numFmtId="0" fontId="134" fillId="0" borderId="0"/>
    <xf numFmtId="0" fontId="8" fillId="0" borderId="0"/>
    <xf numFmtId="0" fontId="8" fillId="0" borderId="0"/>
    <xf numFmtId="0" fontId="11" fillId="0" borderId="0"/>
    <xf numFmtId="0" fontId="13" fillId="0" borderId="0"/>
    <xf numFmtId="0" fontId="1" fillId="0" borderId="0"/>
    <xf numFmtId="0" fontId="1" fillId="0" borderId="0"/>
    <xf numFmtId="0" fontId="1" fillId="0" borderId="0"/>
    <xf numFmtId="0" fontId="1" fillId="0" borderId="0"/>
    <xf numFmtId="0" fontId="1" fillId="0" borderId="0"/>
    <xf numFmtId="0" fontId="134" fillId="0" borderId="0"/>
    <xf numFmtId="0" fontId="1" fillId="0" borderId="0"/>
    <xf numFmtId="0" fontId="11" fillId="0" borderId="0"/>
    <xf numFmtId="0" fontId="13" fillId="0" borderId="0"/>
    <xf numFmtId="0" fontId="1" fillId="0" borderId="0"/>
    <xf numFmtId="0" fontId="8" fillId="0" borderId="0"/>
    <xf numFmtId="0" fontId="134" fillId="0" borderId="0"/>
    <xf numFmtId="0" fontId="134" fillId="0" borderId="0"/>
    <xf numFmtId="0" fontId="134" fillId="0" borderId="0"/>
    <xf numFmtId="0" fontId="9" fillId="0" borderId="0"/>
    <xf numFmtId="0" fontId="10" fillId="0" borderId="0" applyAlignment="0">
      <alignment vertical="center" wrapText="1"/>
    </xf>
    <xf numFmtId="0" fontId="11" fillId="0" borderId="0"/>
    <xf numFmtId="0" fontId="149" fillId="0" borderId="0"/>
    <xf numFmtId="0" fontId="8" fillId="0" borderId="0"/>
    <xf numFmtId="0" fontId="8" fillId="0" borderId="0"/>
    <xf numFmtId="0" fontId="11" fillId="0" borderId="0"/>
    <xf numFmtId="0" fontId="12" fillId="0" borderId="0"/>
    <xf numFmtId="0" fontId="150" fillId="44" borderId="0" applyNumberFormat="0" applyBorder="0" applyAlignment="0" applyProtection="0"/>
    <xf numFmtId="0" fontId="151" fillId="0" borderId="0" applyNumberFormat="0" applyFill="0" applyBorder="0" applyAlignment="0" applyProtection="0"/>
    <xf numFmtId="0" fontId="124" fillId="45" borderId="87" applyNumberFormat="0" applyFont="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52" fillId="0" borderId="88" applyNumberFormat="0" applyFill="0" applyAlignment="0" applyProtection="0"/>
    <xf numFmtId="0" fontId="12" fillId="0" borderId="0"/>
    <xf numFmtId="0" fontId="153" fillId="0" borderId="0" applyNumberFormat="0" applyFill="0" applyBorder="0" applyAlignment="0" applyProtection="0"/>
    <xf numFmtId="165" fontId="1"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9" fontId="11"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8" fillId="0" borderId="0" applyFont="0" applyFill="0" applyBorder="0" applyAlignment="0" applyProtection="0"/>
    <xf numFmtId="0" fontId="154" fillId="46" borderId="0" applyNumberFormat="0" applyBorder="0" applyAlignment="0" applyProtection="0"/>
  </cellStyleXfs>
  <cellXfs count="2097">
    <xf numFmtId="0" fontId="0" fillId="0" borderId="0" xfId="0"/>
    <xf numFmtId="0" fontId="2" fillId="0" borderId="0" xfId="0" applyFont="1"/>
    <xf numFmtId="0" fontId="2" fillId="0" borderId="0" xfId="0" applyFont="1" applyBorder="1" applyAlignment="1">
      <alignment wrapText="1"/>
    </xf>
    <xf numFmtId="0" fontId="2" fillId="0" borderId="0" xfId="0" applyFont="1" applyBorder="1"/>
    <xf numFmtId="0" fontId="5" fillId="0" borderId="0" xfId="0" applyFont="1"/>
    <xf numFmtId="0" fontId="2" fillId="0" borderId="0" xfId="0" applyFont="1" applyAlignment="1">
      <alignment wrapText="1"/>
    </xf>
    <xf numFmtId="0" fontId="2" fillId="0" borderId="0" xfId="0" applyFont="1" applyAlignment="1">
      <alignment horizontal="left" vertical="top"/>
    </xf>
    <xf numFmtId="0" fontId="2" fillId="0" borderId="0" xfId="0" applyFont="1" applyAlignment="1">
      <alignment vertical="top" wrapText="1"/>
    </xf>
    <xf numFmtId="0" fontId="2" fillId="0" borderId="0" xfId="0" applyNumberFormat="1" applyFont="1" applyAlignment="1">
      <alignment vertical="top" wrapText="1"/>
    </xf>
    <xf numFmtId="0" fontId="5" fillId="0" borderId="0" xfId="0" applyFont="1" applyAlignment="1"/>
    <xf numFmtId="0" fontId="6" fillId="0" borderId="0" xfId="56" applyFont="1" applyAlignment="1">
      <alignment wrapText="1"/>
    </xf>
    <xf numFmtId="0" fontId="6" fillId="0" borderId="0" xfId="56" applyFont="1" applyBorder="1" applyAlignment="1">
      <alignment wrapText="1"/>
    </xf>
    <xf numFmtId="0" fontId="5" fillId="0" borderId="0" xfId="56" applyFont="1" applyBorder="1"/>
    <xf numFmtId="0" fontId="5" fillId="0" borderId="0" xfId="56" applyFont="1"/>
    <xf numFmtId="0" fontId="5" fillId="0" borderId="0" xfId="56" applyFont="1" applyBorder="1" applyAlignment="1">
      <alignment horizontal="center" vertical="center" wrapText="1"/>
    </xf>
    <xf numFmtId="0" fontId="5" fillId="0" borderId="0" xfId="56" applyFont="1" applyAlignment="1">
      <alignment horizontal="center" vertical="center" wrapText="1"/>
    </xf>
    <xf numFmtId="0" fontId="5" fillId="0" borderId="0" xfId="56" applyFont="1" applyBorder="1" applyAlignment="1">
      <alignment horizontal="right" vertical="center" wrapText="1"/>
    </xf>
    <xf numFmtId="0" fontId="5" fillId="0" borderId="0" xfId="56" applyFont="1" applyBorder="1" applyAlignment="1">
      <alignment horizontal="left" vertical="center" wrapText="1"/>
    </xf>
    <xf numFmtId="0" fontId="5" fillId="0" borderId="0" xfId="56" applyFont="1" applyBorder="1" applyAlignment="1">
      <alignment horizontal="center"/>
    </xf>
    <xf numFmtId="0" fontId="14" fillId="0" borderId="0" xfId="56" applyFont="1"/>
    <xf numFmtId="0" fontId="14" fillId="0" borderId="0" xfId="56" applyFont="1" applyBorder="1"/>
    <xf numFmtId="0" fontId="5" fillId="0" borderId="0" xfId="47" applyFont="1" applyAlignment="1">
      <alignment horizontal="left"/>
    </xf>
    <xf numFmtId="0" fontId="2" fillId="0" borderId="0" xfId="0" applyFont="1" applyAlignment="1">
      <alignment horizontal="center" wrapText="1"/>
    </xf>
    <xf numFmtId="0" fontId="2" fillId="0" borderId="0" xfId="0" applyFont="1" applyAlignment="1">
      <alignment horizontal="center" vertical="top" wrapText="1"/>
    </xf>
    <xf numFmtId="0" fontId="5" fillId="0" borderId="0" xfId="56" applyFont="1" applyBorder="1" applyAlignment="1">
      <alignment horizontal="right"/>
    </xf>
    <xf numFmtId="0" fontId="5" fillId="0" borderId="0" xfId="0" applyFont="1" applyAlignment="1">
      <alignment horizontal="center"/>
    </xf>
    <xf numFmtId="0" fontId="5" fillId="0" borderId="0" xfId="47" applyFont="1"/>
    <xf numFmtId="0" fontId="5" fillId="0" borderId="0" xfId="47" applyFont="1" applyAlignment="1"/>
    <xf numFmtId="0" fontId="5" fillId="0" borderId="0" xfId="47" applyFont="1" applyAlignment="1">
      <alignment horizontal="center" wrapText="1"/>
    </xf>
    <xf numFmtId="0" fontId="5" fillId="0" borderId="0" xfId="47" applyFont="1" applyAlignment="1">
      <alignment vertical="center"/>
    </xf>
    <xf numFmtId="0" fontId="5" fillId="0" borderId="0" xfId="47" applyFont="1" applyAlignment="1">
      <alignment wrapText="1"/>
    </xf>
    <xf numFmtId="4" fontId="5" fillId="0" borderId="0" xfId="47" applyNumberFormat="1" applyFont="1" applyAlignment="1">
      <alignment horizontal="center" wrapText="1"/>
    </xf>
    <xf numFmtId="0" fontId="2" fillId="0" borderId="0" xfId="0" applyFont="1" applyAlignment="1">
      <alignment horizontal="right"/>
    </xf>
    <xf numFmtId="0" fontId="7" fillId="0" borderId="0" xfId="0" applyFont="1" applyBorder="1" applyAlignment="1">
      <alignment horizontal="center"/>
    </xf>
    <xf numFmtId="0" fontId="5" fillId="0" borderId="0" xfId="0" applyFont="1" applyBorder="1" applyAlignment="1">
      <alignment horizontal="center"/>
    </xf>
    <xf numFmtId="1" fontId="2" fillId="0" borderId="0" xfId="0" applyNumberFormat="1" applyFont="1" applyBorder="1" applyAlignment="1">
      <alignment horizontal="center"/>
    </xf>
    <xf numFmtId="4" fontId="7" fillId="0" borderId="0" xfId="0" applyNumberFormat="1" applyFont="1" applyBorder="1" applyAlignment="1">
      <alignment horizontal="center"/>
    </xf>
    <xf numFmtId="4" fontId="2" fillId="0" borderId="0" xfId="0" applyNumberFormat="1" applyFont="1" applyBorder="1" applyAlignment="1">
      <alignment horizontal="center"/>
    </xf>
    <xf numFmtId="0" fontId="7" fillId="0" borderId="0" xfId="0" applyFont="1"/>
    <xf numFmtId="2" fontId="7" fillId="0" borderId="0" xfId="0" applyNumberFormat="1" applyFont="1"/>
    <xf numFmtId="0" fontId="7" fillId="0" borderId="0" xfId="0" applyFont="1" applyAlignment="1">
      <alignment vertical="top" wrapText="1"/>
    </xf>
    <xf numFmtId="0" fontId="2" fillId="0" borderId="0" xfId="0" applyFont="1" applyAlignment="1">
      <alignment vertical="top"/>
    </xf>
    <xf numFmtId="0" fontId="2" fillId="0" borderId="0" xfId="0" applyFont="1" applyBorder="1" applyAlignment="1">
      <alignment vertical="top"/>
    </xf>
    <xf numFmtId="0" fontId="2" fillId="0" borderId="0" xfId="0" applyFont="1" applyBorder="1" applyAlignment="1">
      <alignment horizontal="center" vertical="top"/>
    </xf>
    <xf numFmtId="0" fontId="7" fillId="0" borderId="0" xfId="0" applyFont="1" applyFill="1" applyAlignment="1">
      <alignment vertical="top"/>
    </xf>
    <xf numFmtId="0" fontId="6" fillId="0" borderId="0" xfId="0" applyFont="1" applyFill="1" applyBorder="1" applyAlignment="1">
      <alignment horizontal="right" vertical="top" wrapText="1"/>
    </xf>
    <xf numFmtId="4" fontId="2" fillId="0" borderId="0" xfId="0" applyNumberFormat="1" applyFont="1" applyBorder="1" applyAlignment="1">
      <alignment horizontal="center" vertical="top"/>
    </xf>
    <xf numFmtId="4" fontId="2" fillId="0" borderId="0" xfId="0" applyNumberFormat="1" applyFont="1" applyAlignment="1">
      <alignment vertical="top"/>
    </xf>
    <xf numFmtId="0" fontId="7" fillId="0" borderId="0" xfId="0" applyFont="1" applyAlignment="1">
      <alignment vertical="top"/>
    </xf>
    <xf numFmtId="0" fontId="7" fillId="0" borderId="0" xfId="0" applyFont="1" applyBorder="1" applyAlignment="1">
      <alignment vertical="top"/>
    </xf>
    <xf numFmtId="0" fontId="5" fillId="0" borderId="0" xfId="0" applyFont="1" applyBorder="1" applyAlignment="1">
      <alignment horizontal="center" vertical="center"/>
    </xf>
    <xf numFmtId="4" fontId="2" fillId="2" borderId="0" xfId="0" applyNumberFormat="1" applyFont="1" applyFill="1" applyBorder="1" applyAlignment="1">
      <alignment horizontal="center" vertical="top"/>
    </xf>
    <xf numFmtId="4" fontId="7" fillId="0" borderId="0" xfId="0" applyNumberFormat="1" applyFont="1" applyFill="1" applyAlignment="1">
      <alignment horizontal="left" vertical="top"/>
    </xf>
    <xf numFmtId="4" fontId="6" fillId="2" borderId="0" xfId="0" applyNumberFormat="1" applyFont="1" applyFill="1" applyBorder="1" applyAlignment="1">
      <alignment horizontal="center" vertical="top"/>
    </xf>
    <xf numFmtId="4" fontId="3" fillId="0" borderId="0" xfId="0" applyNumberFormat="1" applyFont="1" applyBorder="1" applyAlignment="1">
      <alignment horizontal="center" vertical="top"/>
    </xf>
    <xf numFmtId="0" fontId="3" fillId="0" borderId="0" xfId="0" applyFont="1" applyAlignment="1">
      <alignment vertical="top"/>
    </xf>
    <xf numFmtId="0" fontId="2" fillId="0" borderId="0" xfId="0" applyFont="1" applyAlignment="1">
      <alignment horizontal="center" vertical="top"/>
    </xf>
    <xf numFmtId="0" fontId="3" fillId="0" borderId="0" xfId="0" applyFont="1" applyAlignment="1">
      <alignment horizontal="center" vertical="top"/>
    </xf>
    <xf numFmtId="0" fontId="2" fillId="0" borderId="0" xfId="0" applyFont="1" applyFill="1" applyBorder="1" applyAlignment="1">
      <alignment horizontal="center" vertical="top" wrapText="1"/>
    </xf>
    <xf numFmtId="0" fontId="2" fillId="0" borderId="0" xfId="0" applyFont="1" applyFill="1" applyAlignment="1">
      <alignment horizontal="center" vertical="top"/>
    </xf>
    <xf numFmtId="4" fontId="3" fillId="0" borderId="0" xfId="0" applyNumberFormat="1" applyFont="1" applyFill="1" applyBorder="1" applyAlignment="1">
      <alignment horizontal="center" vertical="center"/>
    </xf>
    <xf numFmtId="4" fontId="2" fillId="0" borderId="0" xfId="0" applyNumberFormat="1" applyFont="1" applyFill="1" applyBorder="1" applyAlignment="1">
      <alignment vertical="center"/>
    </xf>
    <xf numFmtId="4" fontId="7" fillId="0" borderId="0" xfId="0" applyNumberFormat="1" applyFont="1" applyFill="1" applyBorder="1" applyAlignment="1">
      <alignment vertical="center"/>
    </xf>
    <xf numFmtId="4" fontId="2" fillId="0" borderId="0" xfId="0" applyNumberFormat="1" applyFont="1" applyFill="1" applyBorder="1" applyAlignment="1">
      <alignment horizontal="right" vertical="center"/>
    </xf>
    <xf numFmtId="4" fontId="3" fillId="0" borderId="0" xfId="0" applyNumberFormat="1" applyFont="1" applyFill="1" applyBorder="1" applyAlignment="1">
      <alignment horizontal="center" vertical="top"/>
    </xf>
    <xf numFmtId="4" fontId="2" fillId="0" borderId="0" xfId="0" applyNumberFormat="1" applyFont="1" applyFill="1" applyBorder="1" applyAlignment="1">
      <alignment horizontal="right"/>
    </xf>
    <xf numFmtId="4" fontId="7" fillId="0" borderId="0" xfId="0" applyNumberFormat="1" applyFont="1" applyFill="1" applyBorder="1" applyAlignment="1"/>
    <xf numFmtId="0" fontId="3" fillId="0" borderId="0" xfId="0" applyFont="1" applyBorder="1" applyAlignment="1">
      <alignment horizontal="center" vertical="top"/>
    </xf>
    <xf numFmtId="0" fontId="5" fillId="0" borderId="0" xfId="0" applyFont="1" applyBorder="1"/>
    <xf numFmtId="0" fontId="5" fillId="0" borderId="0" xfId="0" applyFont="1" applyAlignment="1">
      <alignment vertical="top"/>
    </xf>
    <xf numFmtId="0" fontId="6" fillId="0" borderId="0" xfId="47" applyFont="1"/>
    <xf numFmtId="0" fontId="5" fillId="0" borderId="0" xfId="47" applyFont="1" applyAlignment="1">
      <alignment horizontal="center" vertical="center"/>
    </xf>
    <xf numFmtId="0" fontId="5" fillId="0" borderId="0" xfId="47" applyFont="1" applyAlignment="1">
      <alignment horizontal="center"/>
    </xf>
    <xf numFmtId="2" fontId="5" fillId="0" borderId="0" xfId="47" applyNumberFormat="1" applyFont="1" applyAlignment="1">
      <alignment horizontal="center"/>
    </xf>
    <xf numFmtId="0" fontId="5" fillId="0" borderId="0" xfId="47" applyFont="1" applyAlignment="1">
      <alignment horizontal="center" vertical="center" wrapText="1"/>
    </xf>
    <xf numFmtId="0" fontId="5" fillId="0" borderId="0" xfId="47" applyFont="1" applyAlignment="1">
      <alignment vertical="center" wrapText="1"/>
    </xf>
    <xf numFmtId="0" fontId="16" fillId="0" borderId="0" xfId="47" applyFont="1"/>
    <xf numFmtId="0" fontId="5" fillId="0" borderId="0" xfId="47" applyFont="1" applyBorder="1"/>
    <xf numFmtId="0" fontId="6" fillId="0" borderId="0" xfId="47" applyFont="1" applyBorder="1" applyAlignment="1">
      <alignment horizontal="right"/>
    </xf>
    <xf numFmtId="4" fontId="6" fillId="0" borderId="0" xfId="47" applyNumberFormat="1" applyFont="1" applyBorder="1" applyAlignment="1">
      <alignment horizontal="center"/>
    </xf>
    <xf numFmtId="0" fontId="5" fillId="0" borderId="0" xfId="0" applyFont="1" applyFill="1" applyAlignment="1"/>
    <xf numFmtId="0" fontId="5" fillId="0" borderId="0" xfId="47" applyFont="1" applyFill="1" applyBorder="1" applyAlignment="1">
      <alignment horizontal="left" vertical="top" wrapText="1"/>
    </xf>
    <xf numFmtId="0" fontId="5" fillId="0" borderId="0" xfId="47" applyFont="1" applyBorder="1" applyAlignment="1">
      <alignment horizontal="center" wrapText="1"/>
    </xf>
    <xf numFmtId="4" fontId="5" fillId="0" borderId="0" xfId="47" applyNumberFormat="1" applyFont="1" applyBorder="1" applyAlignment="1">
      <alignment horizontal="center" wrapText="1"/>
    </xf>
    <xf numFmtId="0" fontId="5" fillId="0" borderId="0" xfId="47" applyFont="1" applyBorder="1" applyAlignment="1">
      <alignment horizontal="center" vertical="center"/>
    </xf>
    <xf numFmtId="0" fontId="5" fillId="0" borderId="0" xfId="71" applyFont="1" applyAlignment="1">
      <alignment vertical="center"/>
    </xf>
    <xf numFmtId="0" fontId="5" fillId="0" borderId="0" xfId="71" applyFont="1"/>
    <xf numFmtId="1" fontId="5" fillId="0" borderId="0" xfId="71" applyNumberFormat="1" applyFont="1" applyAlignment="1">
      <alignment vertical="center"/>
    </xf>
    <xf numFmtId="0" fontId="5" fillId="0" borderId="0" xfId="47" applyFont="1" applyFill="1" applyAlignment="1">
      <alignment horizontal="center" wrapText="1"/>
    </xf>
    <xf numFmtId="0" fontId="5" fillId="0" borderId="0" xfId="47" applyFont="1" applyFill="1" applyAlignment="1">
      <alignment wrapText="1"/>
    </xf>
    <xf numFmtId="0" fontId="5" fillId="0" borderId="0" xfId="66" applyFont="1" applyAlignment="1">
      <alignment horizontal="center" vertical="center" wrapText="1"/>
    </xf>
    <xf numFmtId="0" fontId="5" fillId="0" borderId="0" xfId="66" applyFont="1">
      <alignment vertical="center" wrapText="1"/>
    </xf>
    <xf numFmtId="0" fontId="5" fillId="2" borderId="0" xfId="66" applyFont="1" applyFill="1">
      <alignment vertical="center" wrapText="1"/>
    </xf>
    <xf numFmtId="0" fontId="5" fillId="0" borderId="1" xfId="66" applyFont="1" applyBorder="1">
      <alignment vertical="center" wrapText="1"/>
    </xf>
    <xf numFmtId="0" fontId="5" fillId="0" borderId="0" xfId="66" applyFont="1" applyFill="1">
      <alignment vertical="center" wrapText="1"/>
    </xf>
    <xf numFmtId="0" fontId="5" fillId="0" borderId="0" xfId="66" applyFont="1" applyFill="1" applyAlignment="1">
      <alignment horizontal="center" vertical="center" wrapText="1"/>
    </xf>
    <xf numFmtId="170" fontId="5" fillId="0" borderId="0" xfId="66" applyNumberFormat="1" applyFont="1" applyFill="1">
      <alignment vertical="center" wrapText="1"/>
    </xf>
    <xf numFmtId="0" fontId="5" fillId="0" borderId="0" xfId="66" applyFont="1" applyAlignment="1">
      <alignment horizontal="left"/>
    </xf>
    <xf numFmtId="0" fontId="5" fillId="0" borderId="0" xfId="46" applyFont="1" applyAlignment="1">
      <alignment horizontal="center"/>
    </xf>
    <xf numFmtId="0" fontId="5" fillId="0" borderId="0" xfId="46" applyFont="1" applyAlignment="1">
      <alignment horizontal="right"/>
    </xf>
    <xf numFmtId="0" fontId="5" fillId="0" borderId="0" xfId="46" applyFont="1" applyAlignment="1">
      <alignment horizontal="center" wrapText="1"/>
    </xf>
    <xf numFmtId="0" fontId="5" fillId="0" borderId="0" xfId="46" applyFont="1" applyAlignment="1">
      <alignment horizontal="left" wrapText="1"/>
    </xf>
    <xf numFmtId="0" fontId="4" fillId="0" borderId="0" xfId="0" applyFont="1" applyFill="1"/>
    <xf numFmtId="4" fontId="4" fillId="0" borderId="0" xfId="0" applyNumberFormat="1" applyFont="1" applyFill="1"/>
    <xf numFmtId="0" fontId="5" fillId="0" borderId="0" xfId="47" applyFont="1" applyFill="1" applyAlignment="1">
      <alignment horizontal="center" vertical="center" wrapText="1"/>
    </xf>
    <xf numFmtId="0" fontId="6" fillId="0" borderId="0" xfId="46" applyFont="1" applyBorder="1" applyAlignment="1">
      <alignment wrapText="1"/>
    </xf>
    <xf numFmtId="4" fontId="2" fillId="0" borderId="0" xfId="0" applyNumberFormat="1" applyFont="1"/>
    <xf numFmtId="0" fontId="7" fillId="0" borderId="0" xfId="0" applyNumberFormat="1" applyFont="1" applyAlignment="1">
      <alignment horizontal="center" vertical="top" wrapText="1"/>
    </xf>
    <xf numFmtId="0" fontId="6" fillId="0" borderId="0" xfId="0" applyFont="1" applyAlignment="1">
      <alignment wrapText="1"/>
    </xf>
    <xf numFmtId="0" fontId="7" fillId="0" borderId="0" xfId="0" applyFont="1" applyBorder="1" applyAlignment="1">
      <alignment horizontal="center" vertical="center"/>
    </xf>
    <xf numFmtId="4" fontId="7" fillId="2" borderId="0" xfId="0" applyNumberFormat="1" applyFont="1" applyFill="1" applyBorder="1" applyAlignment="1">
      <alignment horizontal="center" vertical="top"/>
    </xf>
    <xf numFmtId="0" fontId="3" fillId="0" borderId="0" xfId="0" applyFont="1" applyAlignment="1">
      <alignment vertical="top" wrapText="1"/>
    </xf>
    <xf numFmtId="0" fontId="7" fillId="2" borderId="0" xfId="0" applyFont="1" applyFill="1" applyBorder="1" applyAlignment="1">
      <alignment horizontal="center" vertical="center"/>
    </xf>
    <xf numFmtId="0" fontId="3" fillId="0" borderId="0" xfId="0" applyNumberFormat="1" applyFont="1" applyAlignment="1">
      <alignment vertical="top" wrapText="1"/>
    </xf>
    <xf numFmtId="0" fontId="22" fillId="0" borderId="1" xfId="0" applyFont="1" applyBorder="1" applyAlignment="1">
      <alignment horizontal="center" vertical="top" wrapText="1"/>
    </xf>
    <xf numFmtId="0" fontId="22" fillId="0" borderId="1" xfId="0" applyFont="1" applyBorder="1" applyAlignment="1">
      <alignment vertical="top" wrapText="1"/>
    </xf>
    <xf numFmtId="0" fontId="5" fillId="0" borderId="0" xfId="0" applyFont="1" applyAlignment="1">
      <alignment vertical="top" wrapText="1"/>
    </xf>
    <xf numFmtId="0" fontId="17" fillId="0" borderId="2" xfId="58" applyFont="1" applyFill="1" applyBorder="1" applyAlignment="1">
      <alignment horizontal="center" vertical="center" wrapText="1"/>
    </xf>
    <xf numFmtId="0" fontId="5" fillId="0" borderId="0" xfId="58" applyFont="1" applyFill="1" applyAlignment="1">
      <alignment horizontal="center" wrapText="1"/>
    </xf>
    <xf numFmtId="0" fontId="6" fillId="0" borderId="0" xfId="58" applyFont="1" applyFill="1" applyAlignment="1">
      <alignment horizontal="right" wrapText="1"/>
    </xf>
    <xf numFmtId="0" fontId="5" fillId="0" borderId="0" xfId="47" applyFont="1" applyAlignment="1">
      <alignment vertical="top" wrapText="1"/>
    </xf>
    <xf numFmtId="0" fontId="24" fillId="0" borderId="0" xfId="47" applyFont="1" applyAlignment="1">
      <alignment vertical="top" wrapText="1"/>
    </xf>
    <xf numFmtId="0" fontId="24" fillId="0" borderId="0" xfId="47" applyFont="1" applyAlignment="1">
      <alignment horizontal="center" vertical="top" wrapText="1"/>
    </xf>
    <xf numFmtId="0" fontId="24" fillId="0" borderId="0" xfId="47" applyFont="1" applyAlignment="1">
      <alignment horizontal="left" vertical="top" wrapText="1"/>
    </xf>
    <xf numFmtId="0" fontId="25" fillId="0" borderId="3" xfId="47" applyFont="1" applyBorder="1" applyAlignment="1">
      <alignment horizontal="left" vertical="top" wrapText="1"/>
    </xf>
    <xf numFmtId="0" fontId="24" fillId="0" borderId="0" xfId="47" applyFont="1" applyBorder="1" applyAlignment="1">
      <alignment horizontal="left" vertical="top" wrapText="1"/>
    </xf>
    <xf numFmtId="0" fontId="26" fillId="0" borderId="3" xfId="47" applyFont="1" applyBorder="1" applyAlignment="1">
      <alignment horizontal="center" vertical="top" wrapText="1"/>
    </xf>
    <xf numFmtId="0" fontId="25" fillId="0" borderId="0" xfId="47" applyFont="1" applyBorder="1" applyAlignment="1">
      <alignment horizontal="center" vertical="top" wrapText="1"/>
    </xf>
    <xf numFmtId="0" fontId="25" fillId="0" borderId="4" xfId="47" applyFont="1" applyBorder="1" applyAlignment="1">
      <alignment horizontal="center" vertical="top" wrapText="1"/>
    </xf>
    <xf numFmtId="0" fontId="24" fillId="0" borderId="0" xfId="47" applyFont="1" applyBorder="1" applyAlignment="1">
      <alignment horizontal="center" vertical="top" wrapText="1"/>
    </xf>
    <xf numFmtId="0" fontId="25" fillId="0" borderId="0" xfId="47" applyFont="1" applyAlignment="1">
      <alignment horizontal="center" vertical="top" wrapText="1"/>
    </xf>
    <xf numFmtId="0" fontId="25" fillId="0" borderId="0" xfId="47" applyFont="1" applyBorder="1" applyAlignment="1">
      <alignment wrapText="1"/>
    </xf>
    <xf numFmtId="0" fontId="25" fillId="0" borderId="0" xfId="47" applyFont="1" applyAlignment="1">
      <alignment horizontal="left" vertical="top" wrapText="1"/>
    </xf>
    <xf numFmtId="0" fontId="25" fillId="0" borderId="0" xfId="47" applyFont="1" applyBorder="1" applyAlignment="1">
      <alignment horizontal="left" vertical="top" wrapText="1"/>
    </xf>
    <xf numFmtId="0" fontId="25" fillId="0" borderId="0" xfId="47" applyFont="1" applyBorder="1" applyAlignment="1">
      <alignment horizontal="right" wrapText="1"/>
    </xf>
    <xf numFmtId="0" fontId="24" fillId="0" borderId="0" xfId="47" applyFont="1" applyBorder="1" applyAlignment="1">
      <alignment horizontal="right" wrapText="1"/>
    </xf>
    <xf numFmtId="0" fontId="25" fillId="0" borderId="0" xfId="47" applyFont="1" applyBorder="1" applyAlignment="1">
      <alignment horizontal="center" wrapText="1"/>
    </xf>
    <xf numFmtId="0" fontId="25" fillId="0" borderId="0" xfId="47" applyFont="1" applyBorder="1" applyAlignment="1">
      <alignment horizontal="center" vertical="center" wrapText="1"/>
    </xf>
    <xf numFmtId="0" fontId="24" fillId="0" borderId="0" xfId="47" applyFont="1" applyBorder="1" applyAlignment="1">
      <alignment horizontal="center" wrapText="1"/>
    </xf>
    <xf numFmtId="0" fontId="25" fillId="0" borderId="0" xfId="47" applyFont="1" applyAlignment="1">
      <alignment vertical="top" wrapText="1"/>
    </xf>
    <xf numFmtId="0" fontId="24" fillId="0" borderId="0" xfId="47" applyFont="1" applyAlignment="1">
      <alignment horizontal="justify"/>
    </xf>
    <xf numFmtId="0" fontId="24" fillId="0" borderId="0" xfId="47" applyFont="1" applyBorder="1" applyAlignment="1">
      <alignment vertical="top" wrapText="1"/>
    </xf>
    <xf numFmtId="0" fontId="27" fillId="0" borderId="0" xfId="47" applyFont="1" applyAlignment="1">
      <alignment horizontal="center" vertical="top" wrapText="1"/>
    </xf>
    <xf numFmtId="0" fontId="28" fillId="0" borderId="0" xfId="47" applyFont="1" applyAlignment="1">
      <alignment horizontal="center" vertical="top" wrapText="1"/>
    </xf>
    <xf numFmtId="0" fontId="25" fillId="0" borderId="1" xfId="47" applyFont="1" applyBorder="1" applyAlignment="1">
      <alignment vertical="top" wrapText="1"/>
    </xf>
    <xf numFmtId="0" fontId="25" fillId="0" borderId="2" xfId="47" applyFont="1" applyBorder="1" applyAlignment="1">
      <alignment vertical="top" wrapText="1"/>
    </xf>
    <xf numFmtId="0" fontId="25" fillId="0" borderId="5" xfId="47" applyFont="1" applyBorder="1" applyAlignment="1">
      <alignment vertical="top" wrapText="1"/>
    </xf>
    <xf numFmtId="0" fontId="25" fillId="0" borderId="1" xfId="47" applyFont="1" applyBorder="1" applyAlignment="1">
      <alignment horizontal="center" vertical="top" wrapText="1"/>
    </xf>
    <xf numFmtId="0" fontId="25" fillId="0" borderId="0" xfId="47" applyFont="1" applyBorder="1" applyAlignment="1">
      <alignment vertical="top" wrapText="1"/>
    </xf>
    <xf numFmtId="0" fontId="27" fillId="0" borderId="0" xfId="47" applyFont="1" applyAlignment="1">
      <alignment horizontal="left" vertical="top" wrapText="1"/>
    </xf>
    <xf numFmtId="0" fontId="5" fillId="0" borderId="0" xfId="47" applyFont="1" applyAlignment="1">
      <alignment horizontal="center" vertical="top" wrapText="1"/>
    </xf>
    <xf numFmtId="0" fontId="5" fillId="0" borderId="0" xfId="47" applyFont="1" applyBorder="1" applyAlignment="1">
      <alignment vertical="top" wrapText="1"/>
    </xf>
    <xf numFmtId="0" fontId="5" fillId="0" borderId="0" xfId="47" applyFont="1" applyAlignment="1">
      <alignment horizontal="left" vertical="center" wrapText="1"/>
    </xf>
    <xf numFmtId="0" fontId="6" fillId="0" borderId="0" xfId="47" applyFont="1" applyAlignment="1">
      <alignment vertical="top" wrapText="1"/>
    </xf>
    <xf numFmtId="0" fontId="8" fillId="0" borderId="0" xfId="47"/>
    <xf numFmtId="0" fontId="28" fillId="0" borderId="0" xfId="47" applyFont="1" applyAlignment="1">
      <alignment horizontal="right" vertical="top" wrapText="1"/>
    </xf>
    <xf numFmtId="0" fontId="29" fillId="0" borderId="0" xfId="47" applyFont="1"/>
    <xf numFmtId="0" fontId="28" fillId="0" borderId="0" xfId="47" applyFont="1" applyBorder="1" applyAlignment="1">
      <alignment vertical="top" wrapText="1"/>
    </xf>
    <xf numFmtId="0" fontId="28" fillId="0" borderId="0" xfId="47" applyFont="1" applyBorder="1" applyAlignment="1">
      <alignment horizontal="left" vertical="top" wrapText="1"/>
    </xf>
    <xf numFmtId="0" fontId="5" fillId="0" borderId="0" xfId="47" applyFont="1" applyBorder="1" applyAlignment="1">
      <alignment horizontal="center" vertical="top" wrapText="1"/>
    </xf>
    <xf numFmtId="0" fontId="25" fillId="0" borderId="1" xfId="47" applyFont="1" applyBorder="1" applyAlignment="1">
      <alignment horizontal="left" vertical="center" wrapText="1"/>
    </xf>
    <xf numFmtId="0" fontId="25" fillId="0" borderId="0" xfId="47" applyFont="1"/>
    <xf numFmtId="0" fontId="28" fillId="0" borderId="0" xfId="47" applyFont="1" applyAlignment="1">
      <alignment horizontal="right"/>
    </xf>
    <xf numFmtId="174" fontId="25" fillId="0" borderId="1" xfId="47" applyNumberFormat="1" applyFont="1" applyBorder="1" applyAlignment="1">
      <alignment horizontal="center" vertical="top" wrapText="1"/>
    </xf>
    <xf numFmtId="0" fontId="25" fillId="0" borderId="0" xfId="47" applyFont="1" applyAlignment="1">
      <alignment horizontal="right"/>
    </xf>
    <xf numFmtId="0" fontId="22" fillId="0" borderId="1" xfId="34" applyFont="1" applyBorder="1" applyAlignment="1" applyProtection="1">
      <alignment vertical="top" wrapText="1"/>
    </xf>
    <xf numFmtId="174" fontId="22" fillId="0" borderId="1" xfId="47" applyNumberFormat="1" applyFont="1" applyBorder="1" applyAlignment="1">
      <alignment horizontal="center" vertical="top" wrapText="1"/>
    </xf>
    <xf numFmtId="0" fontId="22" fillId="0" borderId="1" xfId="47" applyFont="1" applyBorder="1" applyAlignment="1">
      <alignment vertical="top" wrapText="1"/>
    </xf>
    <xf numFmtId="0" fontId="25" fillId="0" borderId="0" xfId="47" applyFont="1" applyAlignment="1">
      <alignment horizontal="justify"/>
    </xf>
    <xf numFmtId="0" fontId="25" fillId="0" borderId="1" xfId="47" applyFont="1" applyBorder="1" applyAlignment="1">
      <alignment horizontal="left" vertical="top" wrapText="1"/>
    </xf>
    <xf numFmtId="16" fontId="25" fillId="0" borderId="1" xfId="47" applyNumberFormat="1" applyFont="1" applyBorder="1" applyAlignment="1">
      <alignment horizontal="center" vertical="top" wrapText="1"/>
    </xf>
    <xf numFmtId="172" fontId="25" fillId="0" borderId="1" xfId="47" applyNumberFormat="1" applyFont="1" applyBorder="1" applyAlignment="1">
      <alignment horizontal="center" vertical="top" wrapText="1"/>
    </xf>
    <xf numFmtId="0" fontId="33" fillId="0" borderId="0" xfId="47" applyFont="1"/>
    <xf numFmtId="0" fontId="24" fillId="0" borderId="0" xfId="47" applyFont="1" applyAlignment="1">
      <alignment horizontal="left" vertical="center" wrapText="1"/>
    </xf>
    <xf numFmtId="0" fontId="27" fillId="0" borderId="0" xfId="47" applyFont="1" applyAlignment="1">
      <alignment vertical="top" wrapText="1"/>
    </xf>
    <xf numFmtId="0" fontId="25" fillId="2" borderId="1" xfId="47" applyFont="1" applyFill="1" applyBorder="1" applyAlignment="1">
      <alignment horizontal="left" vertical="top" wrapText="1"/>
    </xf>
    <xf numFmtId="0" fontId="25" fillId="0" borderId="0" xfId="47" applyFont="1" applyAlignment="1">
      <alignment vertical="center"/>
    </xf>
    <xf numFmtId="0" fontId="34" fillId="0" borderId="0" xfId="47" applyNumberFormat="1" applyFont="1" applyBorder="1" applyAlignment="1">
      <alignment horizontal="left"/>
    </xf>
    <xf numFmtId="0" fontId="35" fillId="0" borderId="0" xfId="47" applyNumberFormat="1" applyFont="1" applyBorder="1" applyAlignment="1">
      <alignment horizontal="left"/>
    </xf>
    <xf numFmtId="0" fontId="4" fillId="0" borderId="0" xfId="47" applyNumberFormat="1" applyFont="1" applyBorder="1" applyAlignment="1">
      <alignment horizontal="left"/>
    </xf>
    <xf numFmtId="0" fontId="36" fillId="0" borderId="0" xfId="47" applyNumberFormat="1" applyFont="1" applyFill="1" applyBorder="1" applyAlignment="1">
      <alignment horizontal="left"/>
    </xf>
    <xf numFmtId="0" fontId="36" fillId="0" borderId="0" xfId="47" applyNumberFormat="1" applyFont="1" applyBorder="1" applyAlignment="1">
      <alignment horizontal="right"/>
    </xf>
    <xf numFmtId="0" fontId="36" fillId="0" borderId="0" xfId="47" applyNumberFormat="1" applyFont="1" applyBorder="1" applyAlignment="1">
      <alignment horizontal="left"/>
    </xf>
    <xf numFmtId="0" fontId="36" fillId="0" borderId="0" xfId="47" applyNumberFormat="1" applyFont="1" applyBorder="1" applyAlignment="1">
      <alignment horizontal="left" vertical="center"/>
    </xf>
    <xf numFmtId="0" fontId="17" fillId="0" borderId="0" xfId="47" applyNumberFormat="1" applyFont="1" applyBorder="1" applyAlignment="1">
      <alignment horizontal="left" vertical="center"/>
    </xf>
    <xf numFmtId="0" fontId="17" fillId="0" borderId="0" xfId="47" applyNumberFormat="1" applyFont="1" applyBorder="1" applyAlignment="1">
      <alignment horizontal="right" vertical="center"/>
    </xf>
    <xf numFmtId="0" fontId="17" fillId="0" borderId="0" xfId="47" applyNumberFormat="1" applyFont="1" applyBorder="1" applyAlignment="1">
      <alignment horizontal="left" wrapText="1"/>
    </xf>
    <xf numFmtId="0" fontId="20" fillId="0" borderId="0" xfId="47" applyNumberFormat="1" applyFont="1" applyBorder="1" applyAlignment="1">
      <alignment horizontal="left"/>
    </xf>
    <xf numFmtId="0" fontId="34" fillId="0" borderId="0" xfId="47" applyNumberFormat="1" applyFont="1" applyBorder="1" applyAlignment="1">
      <alignment horizontal="left" vertical="center"/>
    </xf>
    <xf numFmtId="0" fontId="34" fillId="0" borderId="0" xfId="47" applyNumberFormat="1" applyFont="1" applyBorder="1" applyAlignment="1">
      <alignment horizontal="right" vertical="center"/>
    </xf>
    <xf numFmtId="49" fontId="34" fillId="0" borderId="0" xfId="47" applyNumberFormat="1" applyFont="1" applyBorder="1" applyAlignment="1">
      <alignment horizontal="center" vertical="center"/>
    </xf>
    <xf numFmtId="0" fontId="17" fillId="0" borderId="0" xfId="47" applyNumberFormat="1" applyFont="1" applyBorder="1" applyAlignment="1">
      <alignment horizontal="center" vertical="top"/>
    </xf>
    <xf numFmtId="49" fontId="32" fillId="0" borderId="0" xfId="47" applyNumberFormat="1" applyFont="1" applyBorder="1" applyAlignment="1">
      <alignment horizontal="center" vertical="center"/>
    </xf>
    <xf numFmtId="0" fontId="17" fillId="0" borderId="6" xfId="47" applyNumberFormat="1" applyFont="1" applyBorder="1" applyAlignment="1">
      <alignment horizontal="left"/>
    </xf>
    <xf numFmtId="0" fontId="17" fillId="0" borderId="5" xfId="47" applyNumberFormat="1" applyFont="1" applyBorder="1" applyAlignment="1">
      <alignment horizontal="left"/>
    </xf>
    <xf numFmtId="0" fontId="17" fillId="0" borderId="0" xfId="47" applyNumberFormat="1" applyFont="1" applyBorder="1" applyAlignment="1">
      <alignment horizontal="left" vertical="top"/>
    </xf>
    <xf numFmtId="0" fontId="17" fillId="0" borderId="7" xfId="47" applyNumberFormat="1" applyFont="1" applyBorder="1" applyAlignment="1">
      <alignment horizontal="left" vertical="top"/>
    </xf>
    <xf numFmtId="0" fontId="17" fillId="0" borderId="3" xfId="47" applyNumberFormat="1" applyFont="1" applyBorder="1" applyAlignment="1">
      <alignment horizontal="left" vertical="top"/>
    </xf>
    <xf numFmtId="0" fontId="17" fillId="0" borderId="8" xfId="47" applyNumberFormat="1" applyFont="1" applyBorder="1" applyAlignment="1">
      <alignment horizontal="left" vertical="top"/>
    </xf>
    <xf numFmtId="0" fontId="32" fillId="0" borderId="0" xfId="47" applyNumberFormat="1" applyFont="1" applyBorder="1" applyAlignment="1">
      <alignment horizontal="left"/>
    </xf>
    <xf numFmtId="0" fontId="37" fillId="0" borderId="9" xfId="47" applyNumberFormat="1" applyFont="1" applyBorder="1" applyAlignment="1">
      <alignment horizontal="center"/>
    </xf>
    <xf numFmtId="0" fontId="37" fillId="0" borderId="10" xfId="47" applyNumberFormat="1" applyFont="1" applyBorder="1" applyAlignment="1">
      <alignment horizontal="center"/>
    </xf>
    <xf numFmtId="0" fontId="32" fillId="0" borderId="11" xfId="47" applyNumberFormat="1" applyFont="1" applyBorder="1" applyAlignment="1">
      <alignment horizontal="left"/>
    </xf>
    <xf numFmtId="0" fontId="17" fillId="0" borderId="10" xfId="47" applyNumberFormat="1" applyFont="1" applyBorder="1" applyAlignment="1">
      <alignment horizontal="left"/>
    </xf>
    <xf numFmtId="0" fontId="34" fillId="0" borderId="12" xfId="47" applyNumberFormat="1" applyFont="1" applyBorder="1" applyAlignment="1">
      <alignment horizontal="left"/>
    </xf>
    <xf numFmtId="0" fontId="34" fillId="0" borderId="13" xfId="47" applyNumberFormat="1" applyFont="1" applyBorder="1" applyAlignment="1">
      <alignment horizontal="left"/>
    </xf>
    <xf numFmtId="0" fontId="34" fillId="0" borderId="14" xfId="47" applyNumberFormat="1" applyFont="1" applyBorder="1" applyAlignment="1">
      <alignment horizontal="left"/>
    </xf>
    <xf numFmtId="0" fontId="25" fillId="0" borderId="0" xfId="46" applyFont="1" applyAlignment="1">
      <alignment horizontal="center"/>
    </xf>
    <xf numFmtId="0" fontId="25" fillId="0" borderId="0" xfId="46" applyFont="1" applyAlignment="1">
      <alignment horizontal="right"/>
    </xf>
    <xf numFmtId="0" fontId="22" fillId="0" borderId="0" xfId="0" applyFont="1" applyAlignment="1">
      <alignment horizontal="right"/>
    </xf>
    <xf numFmtId="0" fontId="28" fillId="0" borderId="0" xfId="46" applyFont="1" applyBorder="1" applyAlignment="1">
      <alignment horizontal="center" wrapText="1"/>
    </xf>
    <xf numFmtId="0" fontId="25" fillId="0" borderId="1" xfId="46" applyFont="1" applyBorder="1" applyAlignment="1">
      <alignment horizontal="center" vertical="center" wrapText="1"/>
    </xf>
    <xf numFmtId="0" fontId="25" fillId="0" borderId="0" xfId="46" applyFont="1" applyAlignment="1">
      <alignment horizontal="center" vertical="center" wrapText="1"/>
    </xf>
    <xf numFmtId="0" fontId="25" fillId="0" borderId="1" xfId="46" applyFont="1" applyBorder="1" applyAlignment="1">
      <alignment horizontal="center" wrapText="1"/>
    </xf>
    <xf numFmtId="0" fontId="25" fillId="0" borderId="1" xfId="46" applyFont="1" applyBorder="1" applyAlignment="1">
      <alignment wrapText="1"/>
    </xf>
    <xf numFmtId="4" fontId="25" fillId="0" borderId="1" xfId="46" applyNumberFormat="1" applyFont="1" applyBorder="1" applyAlignment="1">
      <alignment horizontal="center" wrapText="1"/>
    </xf>
    <xf numFmtId="4" fontId="28" fillId="0" borderId="1" xfId="46" applyNumberFormat="1" applyFont="1" applyBorder="1" applyAlignment="1">
      <alignment horizontal="center" wrapText="1"/>
    </xf>
    <xf numFmtId="0" fontId="25" fillId="0" borderId="0" xfId="46" applyFont="1" applyAlignment="1">
      <alignment horizontal="center" wrapText="1"/>
    </xf>
    <xf numFmtId="0" fontId="25" fillId="0" borderId="1" xfId="46" applyFont="1" applyBorder="1" applyAlignment="1">
      <alignment horizontal="center"/>
    </xf>
    <xf numFmtId="0" fontId="25" fillId="0" borderId="1" xfId="46" applyFont="1" applyBorder="1"/>
    <xf numFmtId="4" fontId="25" fillId="0" borderId="1" xfId="46" applyNumberFormat="1" applyFont="1" applyBorder="1" applyAlignment="1">
      <alignment horizontal="center"/>
    </xf>
    <xf numFmtId="0" fontId="25" fillId="0" borderId="0" xfId="46" applyFont="1" applyAlignment="1">
      <alignment horizontal="left" wrapText="1"/>
    </xf>
    <xf numFmtId="2" fontId="25" fillId="0" borderId="0" xfId="46" applyNumberFormat="1" applyFont="1" applyAlignment="1">
      <alignment horizontal="center"/>
    </xf>
    <xf numFmtId="0" fontId="25" fillId="0" borderId="0" xfId="46" applyFont="1" applyAlignment="1"/>
    <xf numFmtId="0" fontId="24" fillId="0" borderId="0" xfId="46" applyFont="1" applyAlignment="1">
      <alignment horizontal="center"/>
    </xf>
    <xf numFmtId="0" fontId="17" fillId="0" borderId="0" xfId="46" applyFont="1" applyAlignment="1">
      <alignment horizontal="center" vertical="center" wrapText="1"/>
    </xf>
    <xf numFmtId="0" fontId="17" fillId="0" borderId="0" xfId="46" applyFont="1" applyAlignment="1">
      <alignment horizontal="center" wrapText="1"/>
    </xf>
    <xf numFmtId="0" fontId="17" fillId="0" borderId="0" xfId="46" applyFont="1" applyAlignment="1">
      <alignment horizontal="center"/>
    </xf>
    <xf numFmtId="0" fontId="25" fillId="0" borderId="1" xfId="47" applyFont="1" applyBorder="1" applyAlignment="1">
      <alignment horizontal="center" vertical="center" wrapText="1"/>
    </xf>
    <xf numFmtId="0" fontId="22" fillId="0" borderId="1" xfId="0" applyFont="1" applyBorder="1" applyAlignment="1">
      <alignment horizontal="center" wrapText="1"/>
    </xf>
    <xf numFmtId="0" fontId="22" fillId="0" borderId="1" xfId="0" applyFont="1" applyBorder="1" applyAlignment="1">
      <alignment horizontal="center"/>
    </xf>
    <xf numFmtId="0" fontId="22" fillId="0" borderId="1" xfId="0" applyFont="1" applyBorder="1" applyAlignment="1">
      <alignment wrapText="1"/>
    </xf>
    <xf numFmtId="4" fontId="22" fillId="0" borderId="1" xfId="0" applyNumberFormat="1" applyFont="1" applyBorder="1" applyAlignment="1">
      <alignment horizontal="center"/>
    </xf>
    <xf numFmtId="0" fontId="22" fillId="0" borderId="1" xfId="0" applyFont="1" applyBorder="1"/>
    <xf numFmtId="0" fontId="22" fillId="0" borderId="0" xfId="0" applyFont="1"/>
    <xf numFmtId="0" fontId="23" fillId="0" borderId="0" xfId="0" applyFont="1" applyAlignment="1">
      <alignment horizontal="center"/>
    </xf>
    <xf numFmtId="0" fontId="25" fillId="0" borderId="0" xfId="47" applyFont="1" applyAlignment="1">
      <alignment horizontal="left" wrapText="1"/>
    </xf>
    <xf numFmtId="0" fontId="25" fillId="0" borderId="15" xfId="47" applyFont="1" applyBorder="1" applyAlignment="1">
      <alignment horizontal="center" vertical="center" wrapText="1"/>
    </xf>
    <xf numFmtId="0" fontId="25" fillId="0" borderId="2" xfId="47" applyFont="1" applyBorder="1" applyAlignment="1">
      <alignment horizontal="center" vertical="center" wrapText="1"/>
    </xf>
    <xf numFmtId="0" fontId="22" fillId="0" borderId="1" xfId="47" applyFont="1" applyBorder="1" applyAlignment="1">
      <alignment horizontal="center" vertical="top" wrapText="1"/>
    </xf>
    <xf numFmtId="0" fontId="25" fillId="0" borderId="15"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1" xfId="46" applyFont="1" applyBorder="1" applyAlignment="1">
      <alignment horizontal="left" wrapText="1"/>
    </xf>
    <xf numFmtId="0" fontId="22" fillId="0" borderId="1" xfId="0" applyFont="1" applyBorder="1" applyAlignment="1">
      <alignment horizontal="left" wrapText="1"/>
    </xf>
    <xf numFmtId="0" fontId="5" fillId="0" borderId="0" xfId="58" applyFont="1" applyFill="1" applyBorder="1" applyAlignment="1">
      <alignment horizontal="left"/>
    </xf>
    <xf numFmtId="49" fontId="22" fillId="0" borderId="1" xfId="0" applyNumberFormat="1" applyFont="1" applyBorder="1" applyAlignment="1">
      <alignment horizontal="center"/>
    </xf>
    <xf numFmtId="0" fontId="25" fillId="0" borderId="1" xfId="47" applyFont="1" applyBorder="1" applyAlignment="1">
      <alignment horizontal="center" wrapText="1"/>
    </xf>
    <xf numFmtId="2" fontId="25" fillId="0" borderId="1" xfId="47" applyNumberFormat="1" applyFont="1" applyBorder="1" applyAlignment="1">
      <alignment horizontal="center" wrapText="1"/>
    </xf>
    <xf numFmtId="4" fontId="28" fillId="0" borderId="1" xfId="47" applyNumberFormat="1" applyFont="1" applyBorder="1" applyAlignment="1">
      <alignment horizontal="center"/>
    </xf>
    <xf numFmtId="0" fontId="23" fillId="0" borderId="0" xfId="0" applyFont="1" applyAlignment="1">
      <alignment horizontal="center" wrapText="1"/>
    </xf>
    <xf numFmtId="4" fontId="25" fillId="0" borderId="1" xfId="0" applyNumberFormat="1" applyFont="1" applyFill="1" applyBorder="1" applyAlignment="1">
      <alignment horizontal="left" vertical="center" wrapText="1"/>
    </xf>
    <xf numFmtId="4" fontId="25" fillId="0" borderId="1" xfId="0" applyNumberFormat="1" applyFont="1" applyFill="1" applyBorder="1" applyAlignment="1">
      <alignment horizontal="center" vertical="center"/>
    </xf>
    <xf numFmtId="4" fontId="25" fillId="0" borderId="1" xfId="0" applyNumberFormat="1" applyFont="1" applyFill="1" applyBorder="1" applyAlignment="1">
      <alignment vertical="center" wrapText="1"/>
    </xf>
    <xf numFmtId="2" fontId="25" fillId="0" borderId="1" xfId="47" applyNumberFormat="1" applyFont="1" applyBorder="1" applyAlignment="1">
      <alignment horizontal="center" vertical="center" wrapText="1"/>
    </xf>
    <xf numFmtId="1" fontId="25" fillId="0" borderId="1" xfId="47" applyNumberFormat="1" applyFont="1" applyBorder="1" applyAlignment="1">
      <alignment horizontal="center" vertical="center" wrapText="1"/>
    </xf>
    <xf numFmtId="0" fontId="25" fillId="0" borderId="1" xfId="47" applyFont="1" applyBorder="1" applyAlignment="1">
      <alignment horizontal="center"/>
    </xf>
    <xf numFmtId="2" fontId="25" fillId="0" borderId="1" xfId="47" applyNumberFormat="1" applyFont="1" applyBorder="1" applyAlignment="1">
      <alignment horizontal="center"/>
    </xf>
    <xf numFmtId="0" fontId="25" fillId="0" borderId="1" xfId="47" applyFont="1" applyBorder="1" applyAlignment="1">
      <alignment horizontal="justify" vertical="top" wrapText="1"/>
    </xf>
    <xf numFmtId="2" fontId="28" fillId="0" borderId="1" xfId="47" applyNumberFormat="1" applyFont="1" applyBorder="1" applyAlignment="1">
      <alignment horizontal="center"/>
    </xf>
    <xf numFmtId="0" fontId="25" fillId="0" borderId="1" xfId="66" applyFont="1" applyBorder="1" applyAlignment="1">
      <alignment horizontal="center" vertical="center" wrapText="1"/>
    </xf>
    <xf numFmtId="0" fontId="25" fillId="0" borderId="1" xfId="66" applyFont="1" applyFill="1" applyBorder="1" applyAlignment="1">
      <alignment horizontal="center" vertical="center" wrapText="1"/>
    </xf>
    <xf numFmtId="0" fontId="40" fillId="0" borderId="1" xfId="66" applyFont="1" applyFill="1" applyBorder="1" applyAlignment="1">
      <alignment horizontal="center" vertical="center" wrapText="1"/>
    </xf>
    <xf numFmtId="170" fontId="25" fillId="0" borderId="2" xfId="66" applyNumberFormat="1" applyFont="1" applyFill="1" applyBorder="1" applyAlignment="1">
      <alignment horizontal="center" vertical="center" wrapText="1"/>
    </xf>
    <xf numFmtId="0" fontId="25" fillId="0" borderId="1" xfId="47" applyFont="1" applyBorder="1"/>
    <xf numFmtId="2" fontId="25" fillId="0" borderId="1" xfId="47" applyNumberFormat="1" applyFont="1" applyBorder="1" applyAlignment="1">
      <alignment horizontal="center" vertical="center"/>
    </xf>
    <xf numFmtId="0" fontId="25" fillId="0" borderId="1" xfId="47" applyFont="1" applyBorder="1" applyAlignment="1">
      <alignment wrapText="1"/>
    </xf>
    <xf numFmtId="2" fontId="25" fillId="0" borderId="1" xfId="47" applyNumberFormat="1" applyFont="1" applyBorder="1" applyAlignment="1">
      <alignment horizontal="center" vertical="top" wrapText="1"/>
    </xf>
    <xf numFmtId="0" fontId="25" fillId="0" borderId="0" xfId="47" applyFont="1" applyAlignment="1">
      <alignment horizontal="center" wrapText="1"/>
    </xf>
    <xf numFmtId="0" fontId="25" fillId="0" borderId="1" xfId="47" applyFont="1" applyFill="1" applyBorder="1" applyAlignment="1">
      <alignment horizontal="center" vertical="center" wrapText="1"/>
    </xf>
    <xf numFmtId="0" fontId="43" fillId="0" borderId="1" xfId="47" applyFont="1" applyFill="1" applyBorder="1" applyAlignment="1">
      <alignment horizontal="center" wrapText="1"/>
    </xf>
    <xf numFmtId="0" fontId="25" fillId="0" borderId="1" xfId="47" applyFont="1" applyFill="1" applyBorder="1" applyAlignment="1">
      <alignment horizontal="center" wrapText="1"/>
    </xf>
    <xf numFmtId="2" fontId="25" fillId="0" borderId="1" xfId="47" applyNumberFormat="1" applyFont="1" applyFill="1" applyBorder="1" applyAlignment="1">
      <alignment horizontal="center" wrapText="1"/>
    </xf>
    <xf numFmtId="0" fontId="43" fillId="0" borderId="0" xfId="47" applyFont="1" applyFill="1" applyAlignment="1">
      <alignment wrapText="1"/>
    </xf>
    <xf numFmtId="0" fontId="25" fillId="0" borderId="0" xfId="47" applyFont="1" applyFill="1" applyAlignment="1">
      <alignment horizontal="center" wrapText="1"/>
    </xf>
    <xf numFmtId="0" fontId="44" fillId="0" borderId="0" xfId="47" applyFont="1" applyAlignment="1">
      <alignment horizontal="center" wrapText="1"/>
    </xf>
    <xf numFmtId="2" fontId="25" fillId="0" borderId="0" xfId="47" applyNumberFormat="1" applyFont="1" applyAlignment="1">
      <alignment horizontal="center" wrapText="1"/>
    </xf>
    <xf numFmtId="0" fontId="25" fillId="0" borderId="16" xfId="47" applyFont="1" applyFill="1" applyBorder="1" applyAlignment="1">
      <alignment horizontal="center" vertical="center" wrapText="1"/>
    </xf>
    <xf numFmtId="0" fontId="25" fillId="0" borderId="16" xfId="47" applyFont="1" applyFill="1" applyBorder="1" applyAlignment="1">
      <alignment horizontal="center" wrapText="1"/>
    </xf>
    <xf numFmtId="2" fontId="25" fillId="0" borderId="0" xfId="47" applyNumberFormat="1" applyFont="1" applyFill="1" applyBorder="1" applyAlignment="1">
      <alignment horizontal="center" wrapText="1"/>
    </xf>
    <xf numFmtId="0" fontId="28" fillId="0" borderId="1" xfId="47" applyFont="1" applyBorder="1" applyAlignment="1">
      <alignment wrapText="1"/>
    </xf>
    <xf numFmtId="0" fontId="28" fillId="0" borderId="0" xfId="47" applyFont="1" applyBorder="1" applyAlignment="1">
      <alignment wrapText="1"/>
    </xf>
    <xf numFmtId="2" fontId="28" fillId="0" borderId="0" xfId="47" applyNumberFormat="1" applyFont="1" applyFill="1" applyBorder="1" applyAlignment="1">
      <alignment horizontal="center" wrapText="1"/>
    </xf>
    <xf numFmtId="0" fontId="28" fillId="0" borderId="0" xfId="47" applyFont="1" applyBorder="1" applyAlignment="1">
      <alignment horizontal="right" wrapText="1"/>
    </xf>
    <xf numFmtId="0" fontId="25" fillId="0" borderId="0" xfId="47" applyFont="1" applyAlignment="1">
      <alignment horizontal="center" vertical="center" wrapText="1"/>
    </xf>
    <xf numFmtId="0" fontId="25" fillId="0" borderId="0" xfId="0" applyFont="1" applyFill="1"/>
    <xf numFmtId="0" fontId="28" fillId="0" borderId="1" xfId="47" applyFont="1" applyBorder="1" applyAlignment="1">
      <alignment horizontal="center" vertical="center" wrapText="1"/>
    </xf>
    <xf numFmtId="2" fontId="25" fillId="0" borderId="0" xfId="47" applyNumberFormat="1" applyFont="1" applyBorder="1" applyAlignment="1">
      <alignment horizontal="center" wrapText="1"/>
    </xf>
    <xf numFmtId="2" fontId="41" fillId="0" borderId="0" xfId="47" applyNumberFormat="1" applyFont="1" applyBorder="1" applyAlignment="1">
      <alignment horizontal="center" wrapText="1"/>
    </xf>
    <xf numFmtId="0" fontId="25" fillId="0" borderId="0" xfId="47" applyFont="1" applyAlignment="1">
      <alignment wrapText="1"/>
    </xf>
    <xf numFmtId="0" fontId="25" fillId="0" borderId="0" xfId="47" applyFont="1" applyFill="1" applyAlignment="1">
      <alignment wrapText="1"/>
    </xf>
    <xf numFmtId="0" fontId="28" fillId="0" borderId="0" xfId="47" applyFont="1" applyAlignment="1">
      <alignment horizontal="left" wrapText="1"/>
    </xf>
    <xf numFmtId="0" fontId="25" fillId="0" borderId="16" xfId="71" applyFont="1" applyBorder="1" applyAlignment="1">
      <alignment horizontal="center"/>
    </xf>
    <xf numFmtId="0" fontId="22" fillId="0" borderId="1" xfId="56" applyFont="1" applyBorder="1" applyAlignment="1">
      <alignment vertical="top" wrapText="1"/>
    </xf>
    <xf numFmtId="1" fontId="25" fillId="0" borderId="1" xfId="71" applyNumberFormat="1" applyFont="1" applyBorder="1" applyAlignment="1">
      <alignment horizontal="center"/>
    </xf>
    <xf numFmtId="4" fontId="25" fillId="0" borderId="1" xfId="71" applyNumberFormat="1" applyFont="1" applyBorder="1" applyAlignment="1">
      <alignment horizontal="center"/>
    </xf>
    <xf numFmtId="0" fontId="25" fillId="0" borderId="2" xfId="71" applyFont="1" applyBorder="1"/>
    <xf numFmtId="4" fontId="28" fillId="0" borderId="2" xfId="71" applyNumberFormat="1" applyFont="1" applyBorder="1"/>
    <xf numFmtId="0" fontId="28" fillId="0" borderId="4" xfId="71" applyFont="1" applyBorder="1" applyAlignment="1">
      <alignment wrapText="1"/>
    </xf>
    <xf numFmtId="0" fontId="25" fillId="0" borderId="15" xfId="71" applyFont="1" applyBorder="1" applyAlignment="1">
      <alignment horizontal="center" vertical="center" wrapText="1"/>
    </xf>
    <xf numFmtId="0" fontId="25" fillId="0" borderId="1" xfId="71" applyFont="1" applyBorder="1" applyAlignment="1">
      <alignment horizontal="center" vertical="center" wrapText="1"/>
    </xf>
    <xf numFmtId="0" fontId="25" fillId="0" borderId="0" xfId="71" applyFont="1" applyBorder="1"/>
    <xf numFmtId="0" fontId="25" fillId="0" borderId="0" xfId="71" applyFont="1"/>
    <xf numFmtId="2" fontId="25" fillId="2" borderId="2" xfId="47" applyNumberFormat="1" applyFont="1" applyFill="1" applyBorder="1" applyAlignment="1">
      <alignment horizontal="center" vertical="center" wrapText="1"/>
    </xf>
    <xf numFmtId="4" fontId="25" fillId="2" borderId="2" xfId="47" applyNumberFormat="1" applyFont="1" applyFill="1" applyBorder="1" applyAlignment="1">
      <alignment horizontal="center" vertical="center" wrapText="1"/>
    </xf>
    <xf numFmtId="2" fontId="25" fillId="2" borderId="1" xfId="47" applyNumberFormat="1" applyFont="1" applyFill="1" applyBorder="1" applyAlignment="1">
      <alignment horizontal="center" vertical="center" wrapText="1"/>
    </xf>
    <xf numFmtId="0" fontId="25" fillId="0" borderId="1" xfId="47" applyFont="1" applyBorder="1" applyAlignment="1">
      <alignment horizontal="left" wrapText="1"/>
    </xf>
    <xf numFmtId="49" fontId="25" fillId="0" borderId="1" xfId="47" applyNumberFormat="1" applyFont="1" applyFill="1" applyBorder="1" applyAlignment="1">
      <alignment horizontal="center" vertical="center" wrapText="1"/>
    </xf>
    <xf numFmtId="3" fontId="25" fillId="0" borderId="1" xfId="86" applyNumberFormat="1" applyFont="1" applyBorder="1" applyAlignment="1">
      <alignment horizontal="center" wrapText="1"/>
    </xf>
    <xf numFmtId="3" fontId="25" fillId="0" borderId="1" xfId="47" applyNumberFormat="1" applyFont="1" applyBorder="1" applyAlignment="1">
      <alignment horizontal="center" vertical="center" wrapText="1"/>
    </xf>
    <xf numFmtId="0" fontId="28" fillId="0" borderId="1" xfId="47" applyFont="1" applyBorder="1" applyAlignment="1">
      <alignment horizontal="right" wrapText="1"/>
    </xf>
    <xf numFmtId="4" fontId="28" fillId="0" borderId="1" xfId="47" applyNumberFormat="1" applyFont="1" applyBorder="1" applyAlignment="1">
      <alignment horizontal="center" wrapText="1"/>
    </xf>
    <xf numFmtId="0" fontId="25" fillId="0" borderId="0" xfId="46" applyFont="1" applyBorder="1" applyAlignment="1">
      <alignment horizontal="left" wrapText="1"/>
    </xf>
    <xf numFmtId="0" fontId="25" fillId="0" borderId="15" xfId="47" applyFont="1" applyBorder="1" applyAlignment="1">
      <alignment horizontal="center" wrapText="1"/>
    </xf>
    <xf numFmtId="2" fontId="25" fillId="0" borderId="15" xfId="47" applyNumberFormat="1" applyFont="1" applyBorder="1" applyAlignment="1">
      <alignment horizontal="center" wrapText="1"/>
    </xf>
    <xf numFmtId="0" fontId="25" fillId="0" borderId="2" xfId="47" applyFont="1" applyBorder="1" applyAlignment="1">
      <alignment horizontal="center" wrapText="1"/>
    </xf>
    <xf numFmtId="2" fontId="25" fillId="0" borderId="2" xfId="47" applyNumberFormat="1" applyFont="1" applyBorder="1" applyAlignment="1">
      <alignment horizontal="center" wrapText="1"/>
    </xf>
    <xf numFmtId="0" fontId="25" fillId="0" borderId="3" xfId="47" applyFont="1" applyBorder="1" applyAlignment="1">
      <alignment horizontal="left" wrapText="1"/>
    </xf>
    <xf numFmtId="0" fontId="25" fillId="0" borderId="1" xfId="0" applyFont="1" applyFill="1" applyBorder="1" applyAlignment="1">
      <alignment horizontal="center"/>
    </xf>
    <xf numFmtId="0" fontId="25" fillId="0" borderId="1" xfId="0" applyFont="1" applyFill="1" applyBorder="1" applyAlignment="1">
      <alignment horizontal="center" vertical="center" wrapText="1"/>
    </xf>
    <xf numFmtId="1" fontId="25" fillId="0" borderId="1" xfId="0" applyNumberFormat="1" applyFont="1" applyFill="1" applyBorder="1" applyAlignment="1">
      <alignment horizontal="center" vertical="top"/>
    </xf>
    <xf numFmtId="1" fontId="25" fillId="0" borderId="1" xfId="0" applyNumberFormat="1" applyFont="1" applyFill="1" applyBorder="1" applyAlignment="1">
      <alignment wrapText="1"/>
    </xf>
    <xf numFmtId="3" fontId="25" fillId="0" borderId="1" xfId="0" applyNumberFormat="1" applyFont="1" applyFill="1" applyBorder="1" applyAlignment="1">
      <alignment horizontal="center"/>
    </xf>
    <xf numFmtId="3" fontId="25" fillId="3" borderId="1" xfId="0" applyNumberFormat="1" applyFont="1" applyFill="1" applyBorder="1" applyAlignment="1">
      <alignment horizontal="center"/>
    </xf>
    <xf numFmtId="0" fontId="25" fillId="0" borderId="0" xfId="0" applyFont="1" applyAlignment="1">
      <alignment horizontal="center"/>
    </xf>
    <xf numFmtId="0" fontId="25" fillId="0" borderId="0" xfId="0" applyFont="1"/>
    <xf numFmtId="0" fontId="44" fillId="0" borderId="0" xfId="0" applyFont="1" applyAlignment="1">
      <alignment horizontal="center"/>
    </xf>
    <xf numFmtId="0" fontId="44" fillId="0" borderId="0" xfId="0" applyFont="1"/>
    <xf numFmtId="0" fontId="25" fillId="0" borderId="16" xfId="47" applyFont="1" applyBorder="1" applyAlignment="1">
      <alignment horizontal="left" vertical="top" wrapText="1"/>
    </xf>
    <xf numFmtId="0" fontId="25" fillId="0" borderId="1" xfId="47" applyNumberFormat="1" applyFont="1" applyBorder="1" applyAlignment="1">
      <alignment horizontal="center" vertical="top" wrapText="1"/>
    </xf>
    <xf numFmtId="4" fontId="25" fillId="0" borderId="1" xfId="47" applyNumberFormat="1" applyFont="1" applyBorder="1" applyAlignment="1">
      <alignment horizontal="center" vertical="top" wrapText="1"/>
    </xf>
    <xf numFmtId="0" fontId="25" fillId="2" borderId="16" xfId="47" applyFont="1" applyFill="1" applyBorder="1" applyAlignment="1">
      <alignment horizontal="left" vertical="top" wrapText="1"/>
    </xf>
    <xf numFmtId="0" fontId="25" fillId="0" borderId="17" xfId="47" applyNumberFormat="1" applyFont="1" applyBorder="1" applyAlignment="1">
      <alignment horizontal="center" vertical="top" wrapText="1"/>
    </xf>
    <xf numFmtId="4" fontId="25" fillId="0" borderId="17" xfId="47" applyNumberFormat="1" applyFont="1" applyBorder="1" applyAlignment="1">
      <alignment horizontal="center" vertical="top" wrapText="1"/>
    </xf>
    <xf numFmtId="0" fontId="28" fillId="0" borderId="1" xfId="47" applyFont="1" applyBorder="1" applyAlignment="1">
      <alignment horizontal="right"/>
    </xf>
    <xf numFmtId="0" fontId="22" fillId="0" borderId="1" xfId="0" applyFont="1" applyBorder="1" applyAlignment="1">
      <alignment horizontal="center" vertical="center" wrapText="1"/>
    </xf>
    <xf numFmtId="0" fontId="25" fillId="0" borderId="1" xfId="0" applyFont="1" applyFill="1" applyBorder="1" applyAlignment="1">
      <alignment horizontal="center" wrapText="1"/>
    </xf>
    <xf numFmtId="0" fontId="22" fillId="0" borderId="15" xfId="0" applyFont="1" applyBorder="1" applyAlignment="1">
      <alignment horizontal="center" vertical="center" wrapText="1"/>
    </xf>
    <xf numFmtId="49" fontId="22" fillId="0" borderId="1" xfId="0" applyNumberFormat="1" applyFont="1" applyBorder="1" applyAlignment="1">
      <alignment horizontal="center" wrapText="1"/>
    </xf>
    <xf numFmtId="3" fontId="22" fillId="0" borderId="1" xfId="0" applyNumberFormat="1" applyFont="1" applyBorder="1" applyAlignment="1">
      <alignment horizontal="center"/>
    </xf>
    <xf numFmtId="0" fontId="25" fillId="0" borderId="1" xfId="0" applyFont="1" applyBorder="1" applyAlignment="1">
      <alignment horizontal="center"/>
    </xf>
    <xf numFmtId="49" fontId="25" fillId="0" borderId="1" xfId="0" applyNumberFormat="1" applyFont="1" applyBorder="1" applyAlignment="1">
      <alignment horizontal="center"/>
    </xf>
    <xf numFmtId="0" fontId="25" fillId="0" borderId="1" xfId="0" applyFont="1" applyBorder="1" applyAlignment="1">
      <alignment horizontal="center" vertical="top" wrapText="1"/>
    </xf>
    <xf numFmtId="0" fontId="25" fillId="0" borderId="1" xfId="0" applyFont="1" applyBorder="1" applyAlignment="1">
      <alignment horizontal="left" vertical="top" wrapText="1"/>
    </xf>
    <xf numFmtId="0" fontId="25" fillId="0" borderId="1" xfId="0" applyFont="1" applyBorder="1" applyAlignment="1">
      <alignment horizontal="left" vertical="top"/>
    </xf>
    <xf numFmtId="168" fontId="25" fillId="0" borderId="1" xfId="0" applyNumberFormat="1" applyFont="1" applyBorder="1" applyAlignment="1">
      <alignment horizontal="center"/>
    </xf>
    <xf numFmtId="0" fontId="22" fillId="0" borderId="1" xfId="0" applyFont="1" applyBorder="1" applyAlignment="1">
      <alignment horizontal="justify" vertical="top"/>
    </xf>
    <xf numFmtId="0" fontId="25" fillId="0" borderId="1" xfId="0" applyFont="1" applyBorder="1" applyAlignment="1">
      <alignment horizontal="left"/>
    </xf>
    <xf numFmtId="0" fontId="25" fillId="0" borderId="1" xfId="0" applyFont="1" applyFill="1" applyBorder="1"/>
    <xf numFmtId="168" fontId="25" fillId="0" borderId="1" xfId="0" applyNumberFormat="1" applyFont="1" applyFill="1" applyBorder="1" applyAlignment="1"/>
    <xf numFmtId="168" fontId="25" fillId="0" borderId="1" xfId="0" applyNumberFormat="1" applyFont="1" applyFill="1" applyBorder="1" applyAlignment="1">
      <alignment horizontal="center"/>
    </xf>
    <xf numFmtId="0" fontId="25" fillId="0" borderId="1" xfId="0" applyFont="1" applyBorder="1"/>
    <xf numFmtId="167" fontId="22" fillId="0" borderId="1" xfId="0" applyNumberFormat="1" applyFont="1" applyBorder="1" applyAlignment="1">
      <alignment horizontal="center"/>
    </xf>
    <xf numFmtId="0" fontId="25" fillId="0" borderId="1" xfId="0" applyFont="1" applyFill="1" applyBorder="1" applyAlignment="1">
      <alignment wrapText="1"/>
    </xf>
    <xf numFmtId="1" fontId="22" fillId="0" borderId="1" xfId="0" applyNumberFormat="1" applyFont="1" applyBorder="1" applyAlignment="1">
      <alignment horizontal="center"/>
    </xf>
    <xf numFmtId="4" fontId="23" fillId="0" borderId="1" xfId="0" applyNumberFormat="1" applyFont="1" applyBorder="1" applyAlignment="1">
      <alignment horizontal="center"/>
    </xf>
    <xf numFmtId="4" fontId="23" fillId="0" borderId="0" xfId="0" applyNumberFormat="1" applyFont="1" applyBorder="1" applyAlignment="1">
      <alignment horizontal="center"/>
    </xf>
    <xf numFmtId="0" fontId="22" fillId="0" borderId="1" xfId="0" applyFont="1" applyFill="1" applyBorder="1" applyAlignment="1">
      <alignment horizontal="center" vertical="top"/>
    </xf>
    <xf numFmtId="0" fontId="22" fillId="0" borderId="1" xfId="0" applyFont="1" applyFill="1" applyBorder="1" applyAlignment="1">
      <alignment horizontal="center" vertical="top" wrapText="1"/>
    </xf>
    <xf numFmtId="0" fontId="22" fillId="0" borderId="1" xfId="0" applyNumberFormat="1" applyFont="1" applyFill="1" applyBorder="1" applyAlignment="1">
      <alignment horizontal="left" vertical="top" wrapText="1"/>
    </xf>
    <xf numFmtId="0" fontId="22" fillId="0" borderId="1" xfId="0" applyFont="1" applyFill="1" applyBorder="1" applyAlignment="1">
      <alignment horizontal="left" vertical="top" wrapText="1"/>
    </xf>
    <xf numFmtId="4" fontId="22" fillId="0" borderId="1" xfId="0" applyNumberFormat="1" applyFont="1" applyFill="1" applyBorder="1" applyAlignment="1">
      <alignment vertical="center"/>
    </xf>
    <xf numFmtId="49" fontId="22" fillId="0" borderId="1" xfId="0" applyNumberFormat="1" applyFont="1" applyFill="1" applyBorder="1" applyAlignment="1">
      <alignment horizontal="center" vertical="top"/>
    </xf>
    <xf numFmtId="4" fontId="22" fillId="0" borderId="1" xfId="0" applyNumberFormat="1" applyFont="1" applyFill="1" applyBorder="1" applyAlignment="1">
      <alignment horizontal="right" vertical="center"/>
    </xf>
    <xf numFmtId="0" fontId="25" fillId="0" borderId="1" xfId="0" applyFont="1" applyFill="1" applyBorder="1" applyAlignment="1">
      <alignment horizontal="left" vertical="top" wrapText="1"/>
    </xf>
    <xf numFmtId="0" fontId="25" fillId="0" borderId="1" xfId="0" applyFont="1" applyFill="1" applyBorder="1" applyAlignment="1">
      <alignment horizontal="left" wrapText="1"/>
    </xf>
    <xf numFmtId="4" fontId="22" fillId="0" borderId="1" xfId="0" applyNumberFormat="1" applyFont="1" applyFill="1" applyBorder="1" applyAlignment="1">
      <alignment horizontal="right"/>
    </xf>
    <xf numFmtId="0" fontId="22" fillId="0" borderId="1" xfId="0" applyFont="1" applyBorder="1" applyAlignment="1">
      <alignment horizontal="center" vertical="top"/>
    </xf>
    <xf numFmtId="0" fontId="25" fillId="0" borderId="1" xfId="0" applyFont="1" applyBorder="1" applyAlignment="1">
      <alignment horizontal="left" wrapText="1"/>
    </xf>
    <xf numFmtId="0" fontId="25" fillId="0" borderId="1" xfId="0" applyFont="1" applyBorder="1" applyAlignment="1">
      <alignment horizontal="center" vertical="center"/>
    </xf>
    <xf numFmtId="4" fontId="22" fillId="0" borderId="1" xfId="0" applyNumberFormat="1" applyFont="1" applyBorder="1" applyAlignment="1">
      <alignment horizontal="center" vertical="top"/>
    </xf>
    <xf numFmtId="0" fontId="28" fillId="0" borderId="1" xfId="0" applyFont="1" applyFill="1" applyBorder="1" applyAlignment="1">
      <alignment horizontal="right" vertical="top" wrapText="1"/>
    </xf>
    <xf numFmtId="0" fontId="28" fillId="0" borderId="0" xfId="0" applyFont="1" applyFill="1" applyBorder="1" applyAlignment="1">
      <alignment vertical="top" wrapText="1"/>
    </xf>
    <xf numFmtId="0" fontId="28" fillId="0" borderId="0" xfId="0" applyFont="1" applyFill="1" applyBorder="1" applyAlignment="1">
      <alignment horizontal="right" vertical="top" wrapText="1"/>
    </xf>
    <xf numFmtId="0" fontId="25" fillId="0" borderId="1" xfId="0" applyFont="1" applyFill="1" applyBorder="1" applyAlignment="1">
      <alignment vertical="top" wrapText="1"/>
    </xf>
    <xf numFmtId="4" fontId="28" fillId="2" borderId="1" xfId="0" applyNumberFormat="1" applyFont="1" applyFill="1" applyBorder="1" applyAlignment="1">
      <alignment horizontal="center" vertical="top"/>
    </xf>
    <xf numFmtId="167" fontId="22" fillId="0" borderId="1" xfId="0" applyNumberFormat="1" applyFont="1" applyBorder="1" applyAlignment="1">
      <alignment horizontal="center" vertical="center" wrapText="1"/>
    </xf>
    <xf numFmtId="0" fontId="28" fillId="0" borderId="4" xfId="0" applyFont="1" applyFill="1" applyBorder="1" applyAlignment="1">
      <alignment horizontal="right" wrapText="1"/>
    </xf>
    <xf numFmtId="4" fontId="23" fillId="0" borderId="4" xfId="0" applyNumberFormat="1" applyFont="1" applyBorder="1" applyAlignment="1">
      <alignment horizontal="center"/>
    </xf>
    <xf numFmtId="0" fontId="44" fillId="0" borderId="0" xfId="0" applyFont="1" applyAlignment="1">
      <alignment vertical="top" wrapText="1"/>
    </xf>
    <xf numFmtId="0" fontId="25" fillId="0" borderId="0" xfId="56" applyFont="1"/>
    <xf numFmtId="0" fontId="25" fillId="0" borderId="0" xfId="56" applyFont="1" applyFill="1" applyBorder="1"/>
    <xf numFmtId="0" fontId="25" fillId="0" borderId="0" xfId="56" applyFont="1" applyBorder="1"/>
    <xf numFmtId="0" fontId="25" fillId="0" borderId="1" xfId="56" applyFont="1" applyBorder="1" applyAlignment="1">
      <alignment horizontal="center"/>
    </xf>
    <xf numFmtId="165" fontId="25" fillId="0" borderId="1" xfId="94" applyFont="1" applyBorder="1" applyAlignment="1">
      <alignment horizontal="center"/>
    </xf>
    <xf numFmtId="0" fontId="25" fillId="0" borderId="0" xfId="56" applyFont="1" applyAlignment="1">
      <alignment horizontal="center" vertical="center" wrapText="1"/>
    </xf>
    <xf numFmtId="1" fontId="25" fillId="0" borderId="0" xfId="56" applyNumberFormat="1" applyFont="1" applyFill="1" applyBorder="1" applyAlignment="1">
      <alignment horizontal="center" wrapText="1"/>
    </xf>
    <xf numFmtId="0" fontId="25" fillId="0" borderId="0" xfId="56" applyFont="1" applyFill="1" applyAlignment="1">
      <alignment horizontal="left" wrapText="1"/>
    </xf>
    <xf numFmtId="0" fontId="25" fillId="0" borderId="15" xfId="47" applyFont="1" applyBorder="1" applyAlignment="1">
      <alignment horizontal="center" vertical="top" wrapText="1"/>
    </xf>
    <xf numFmtId="0" fontId="25" fillId="0" borderId="2" xfId="47" applyFont="1" applyBorder="1" applyAlignment="1">
      <alignment horizontal="center" vertical="top" wrapText="1"/>
    </xf>
    <xf numFmtId="0" fontId="25" fillId="2" borderId="0" xfId="47" applyFont="1" applyFill="1" applyAlignment="1">
      <alignment horizontal="center" wrapText="1"/>
    </xf>
    <xf numFmtId="4" fontId="25" fillId="0" borderId="2" xfId="47" applyNumberFormat="1" applyFont="1" applyBorder="1" applyAlignment="1">
      <alignment horizontal="center" wrapText="1"/>
    </xf>
    <xf numFmtId="0" fontId="22" fillId="0" borderId="1" xfId="47" applyFont="1" applyFill="1" applyBorder="1" applyAlignment="1">
      <alignment horizontal="center" vertical="center" wrapText="1"/>
    </xf>
    <xf numFmtId="0" fontId="22" fillId="0" borderId="16" xfId="47" applyFont="1" applyFill="1" applyBorder="1" applyAlignment="1">
      <alignment horizontal="center" vertical="center" wrapText="1"/>
    </xf>
    <xf numFmtId="0" fontId="22" fillId="0" borderId="1" xfId="47" applyFont="1" applyFill="1" applyBorder="1" applyAlignment="1">
      <alignment horizontal="center" vertical="center"/>
    </xf>
    <xf numFmtId="4" fontId="22" fillId="0" borderId="1" xfId="47" applyNumberFormat="1" applyFont="1" applyFill="1" applyBorder="1" applyAlignment="1">
      <alignment horizontal="center" vertical="center"/>
    </xf>
    <xf numFmtId="4" fontId="28" fillId="0" borderId="1" xfId="47" applyNumberFormat="1" applyFont="1" applyBorder="1" applyAlignment="1">
      <alignment vertical="center"/>
    </xf>
    <xf numFmtId="4" fontId="25" fillId="0" borderId="1" xfId="47" applyNumberFormat="1" applyFont="1" applyBorder="1" applyAlignment="1">
      <alignment horizontal="center" vertical="center" wrapText="1"/>
    </xf>
    <xf numFmtId="4" fontId="25" fillId="0" borderId="1" xfId="47" applyNumberFormat="1" applyFont="1" applyBorder="1" applyAlignment="1">
      <alignment horizontal="center" vertical="center"/>
    </xf>
    <xf numFmtId="4" fontId="28" fillId="0" borderId="1" xfId="47" applyNumberFormat="1" applyFont="1" applyBorder="1" applyAlignment="1">
      <alignment horizontal="center" vertical="center"/>
    </xf>
    <xf numFmtId="0" fontId="25" fillId="0" borderId="0" xfId="47" applyFont="1" applyBorder="1" applyAlignment="1">
      <alignment horizontal="right" vertical="center" wrapText="1"/>
    </xf>
    <xf numFmtId="4" fontId="28" fillId="0" borderId="0" xfId="47" applyNumberFormat="1" applyFont="1" applyAlignment="1">
      <alignment horizontal="center" vertical="center"/>
    </xf>
    <xf numFmtId="4" fontId="25" fillId="0" borderId="0" xfId="47" applyNumberFormat="1" applyFont="1"/>
    <xf numFmtId="0" fontId="25" fillId="0" borderId="3" xfId="47" applyFont="1" applyBorder="1" applyAlignment="1">
      <alignment vertical="center"/>
    </xf>
    <xf numFmtId="0" fontId="25" fillId="0" borderId="0" xfId="47" applyFont="1" applyAlignment="1"/>
    <xf numFmtId="0" fontId="25" fillId="0" borderId="0" xfId="47" applyFont="1" applyAlignment="1">
      <alignment horizontal="center"/>
    </xf>
    <xf numFmtId="0" fontId="25" fillId="0" borderId="3" xfId="47" applyFont="1" applyBorder="1" applyAlignment="1"/>
    <xf numFmtId="0" fontId="28" fillId="0" borderId="0" xfId="0" applyFont="1" applyAlignment="1">
      <alignment wrapText="1"/>
    </xf>
    <xf numFmtId="0" fontId="25" fillId="0" borderId="0" xfId="0" applyFont="1" applyFill="1" applyBorder="1" applyAlignment="1">
      <alignment horizontal="left"/>
    </xf>
    <xf numFmtId="3" fontId="25" fillId="0" borderId="1" xfId="0" applyNumberFormat="1" applyFont="1" applyFill="1" applyBorder="1" applyAlignment="1">
      <alignment horizontal="center" vertical="center" wrapText="1"/>
    </xf>
    <xf numFmtId="0" fontId="28" fillId="0" borderId="0" xfId="47" applyFont="1" applyFill="1" applyAlignment="1">
      <alignment horizontal="center" wrapText="1"/>
    </xf>
    <xf numFmtId="0" fontId="25" fillId="0" borderId="2" xfId="66" applyFont="1" applyFill="1" applyBorder="1" applyAlignment="1">
      <alignment horizontal="center" vertical="center" wrapText="1"/>
    </xf>
    <xf numFmtId="0" fontId="25" fillId="0" borderId="16" xfId="66" applyFont="1" applyFill="1" applyBorder="1" applyAlignment="1">
      <alignment horizontal="center" vertical="center" wrapText="1"/>
    </xf>
    <xf numFmtId="0" fontId="25" fillId="0" borderId="0" xfId="66" applyFont="1" applyAlignment="1">
      <alignment horizontal="center" vertical="center" wrapText="1"/>
    </xf>
    <xf numFmtId="0" fontId="25" fillId="0" borderId="0" xfId="66" applyFont="1">
      <alignment vertical="center" wrapText="1"/>
    </xf>
    <xf numFmtId="4" fontId="25" fillId="0" borderId="0" xfId="47" applyNumberFormat="1" applyFont="1" applyAlignment="1">
      <alignment horizontal="center" wrapText="1"/>
    </xf>
    <xf numFmtId="0" fontId="28" fillId="0" borderId="0" xfId="71" applyFont="1" applyBorder="1" applyAlignment="1">
      <alignment horizontal="center" wrapText="1"/>
    </xf>
    <xf numFmtId="0" fontId="25" fillId="0" borderId="18" xfId="71" applyFont="1" applyBorder="1" applyAlignment="1">
      <alignment horizontal="center" vertical="center" wrapText="1"/>
    </xf>
    <xf numFmtId="0" fontId="25" fillId="0" borderId="0" xfId="83" applyFont="1" applyAlignment="1"/>
    <xf numFmtId="0" fontId="28" fillId="0" borderId="0" xfId="47" applyFont="1" applyBorder="1" applyAlignment="1">
      <alignment horizontal="center" vertical="center" wrapText="1"/>
    </xf>
    <xf numFmtId="0" fontId="28" fillId="0" borderId="0" xfId="47" applyFont="1" applyAlignment="1">
      <alignment horizontal="center" vertical="center" wrapText="1"/>
    </xf>
    <xf numFmtId="0" fontId="22" fillId="0" borderId="0" xfId="0" applyFont="1" applyAlignment="1">
      <alignment horizontal="left" vertical="top"/>
    </xf>
    <xf numFmtId="3" fontId="25" fillId="0" borderId="1" xfId="0" applyNumberFormat="1" applyFont="1" applyFill="1" applyBorder="1" applyAlignment="1">
      <alignment horizontal="center" wrapText="1"/>
    </xf>
    <xf numFmtId="0" fontId="25" fillId="0" borderId="0" xfId="0" applyFont="1" applyAlignment="1">
      <alignment horizontal="left"/>
    </xf>
    <xf numFmtId="0" fontId="25" fillId="0" borderId="0" xfId="47" applyFont="1" applyBorder="1" applyAlignment="1"/>
    <xf numFmtId="0" fontId="25" fillId="0" borderId="7" xfId="47" applyFont="1" applyBorder="1" applyAlignment="1">
      <alignment horizontal="center" vertical="center" wrapText="1"/>
    </xf>
    <xf numFmtId="0" fontId="25" fillId="0" borderId="0" xfId="0" applyFont="1" applyAlignment="1">
      <alignment horizontal="right"/>
    </xf>
    <xf numFmtId="0" fontId="26" fillId="0" borderId="0" xfId="0" applyFont="1" applyBorder="1"/>
    <xf numFmtId="0" fontId="22" fillId="0" borderId="0" xfId="0" applyFont="1" applyAlignment="1">
      <alignment horizontal="center" wrapText="1"/>
    </xf>
    <xf numFmtId="0" fontId="22" fillId="0" borderId="0" xfId="0" applyFont="1" applyAlignment="1">
      <alignment horizontal="center" vertical="top"/>
    </xf>
    <xf numFmtId="0" fontId="23" fillId="0" borderId="0" xfId="0" applyFont="1" applyAlignment="1">
      <alignment horizontal="center" vertical="top"/>
    </xf>
    <xf numFmtId="4" fontId="22" fillId="0" borderId="1" xfId="0" applyNumberFormat="1" applyFont="1" applyFill="1" applyBorder="1" applyAlignment="1">
      <alignment horizontal="center" vertical="center"/>
    </xf>
    <xf numFmtId="4" fontId="22" fillId="0" borderId="1" xfId="0" applyNumberFormat="1" applyFont="1" applyFill="1" applyBorder="1" applyAlignment="1">
      <alignment horizontal="center"/>
    </xf>
    <xf numFmtId="4" fontId="22" fillId="0" borderId="1" xfId="0" applyNumberFormat="1" applyFont="1" applyFill="1" applyBorder="1" applyAlignment="1">
      <alignment horizontal="center" vertical="top"/>
    </xf>
    <xf numFmtId="0" fontId="25" fillId="0" borderId="0" xfId="0" applyFont="1" applyBorder="1" applyAlignment="1">
      <alignment horizontal="center"/>
    </xf>
    <xf numFmtId="0" fontId="22" fillId="0" borderId="0" xfId="0" applyFont="1" applyBorder="1"/>
    <xf numFmtId="0" fontId="22" fillId="0" borderId="0" xfId="0" applyFont="1" applyAlignment="1">
      <alignment vertical="top"/>
    </xf>
    <xf numFmtId="0" fontId="22" fillId="0" borderId="0" xfId="0" applyFont="1" applyBorder="1" applyAlignment="1">
      <alignment vertical="top"/>
    </xf>
    <xf numFmtId="0" fontId="22" fillId="0" borderId="0" xfId="0" applyFont="1" applyAlignment="1">
      <alignment horizontal="center" vertical="top" wrapText="1"/>
    </xf>
    <xf numFmtId="0" fontId="25" fillId="0" borderId="1" xfId="0" applyFont="1" applyFill="1" applyBorder="1" applyAlignment="1">
      <alignment horizontal="right" vertical="top" wrapText="1"/>
    </xf>
    <xf numFmtId="0" fontId="22" fillId="0" borderId="0" xfId="0" applyFont="1" applyAlignment="1">
      <alignment vertical="center"/>
    </xf>
    <xf numFmtId="0" fontId="22" fillId="0" borderId="0" xfId="0" applyFont="1" applyAlignment="1">
      <alignment horizontal="right" vertical="center"/>
    </xf>
    <xf numFmtId="0" fontId="25" fillId="0" borderId="1" xfId="0" applyFont="1" applyFill="1" applyBorder="1" applyAlignment="1">
      <alignment horizontal="left" vertical="center" wrapText="1"/>
    </xf>
    <xf numFmtId="0" fontId="25" fillId="0" borderId="1" xfId="0" applyFont="1" applyFill="1" applyBorder="1" applyAlignment="1">
      <alignment vertical="center" wrapText="1"/>
    </xf>
    <xf numFmtId="0" fontId="28" fillId="0" borderId="1" xfId="0" applyFont="1" applyFill="1" applyBorder="1" applyAlignment="1">
      <alignment horizontal="right" vertical="center" wrapText="1"/>
    </xf>
    <xf numFmtId="4" fontId="28" fillId="2" borderId="1" xfId="0" applyNumberFormat="1" applyFont="1" applyFill="1" applyBorder="1" applyAlignment="1">
      <alignment horizontal="center" vertical="center"/>
    </xf>
    <xf numFmtId="0" fontId="25" fillId="0" borderId="1" xfId="0" applyFont="1" applyFill="1" applyBorder="1" applyAlignment="1">
      <alignment horizontal="right" vertical="center" wrapText="1"/>
    </xf>
    <xf numFmtId="0" fontId="44" fillId="0" borderId="0" xfId="0" applyFont="1" applyAlignment="1">
      <alignment wrapText="1"/>
    </xf>
    <xf numFmtId="0" fontId="25" fillId="0" borderId="0" xfId="0" applyFont="1" applyBorder="1" applyAlignment="1">
      <alignment horizontal="center" wrapText="1"/>
    </xf>
    <xf numFmtId="0" fontId="44" fillId="0" borderId="0" xfId="0" applyFont="1" applyBorder="1" applyAlignment="1">
      <alignment horizontal="center"/>
    </xf>
    <xf numFmtId="0" fontId="28" fillId="0" borderId="0" xfId="56" applyFont="1" applyAlignment="1">
      <alignment wrapText="1"/>
    </xf>
    <xf numFmtId="0" fontId="25" fillId="0" borderId="0" xfId="56" applyFont="1" applyBorder="1" applyAlignment="1">
      <alignment horizontal="center"/>
    </xf>
    <xf numFmtId="165" fontId="25" fillId="0" borderId="0" xfId="94" applyFont="1" applyAlignment="1">
      <alignment horizontal="right"/>
    </xf>
    <xf numFmtId="2" fontId="25" fillId="0" borderId="0" xfId="56" applyNumberFormat="1" applyFont="1"/>
    <xf numFmtId="2" fontId="25" fillId="0" borderId="0" xfId="56" applyNumberFormat="1" applyFont="1" applyBorder="1"/>
    <xf numFmtId="1" fontId="25" fillId="0" borderId="0" xfId="56" applyNumberFormat="1" applyFont="1" applyFill="1" applyAlignment="1">
      <alignment horizontal="left" wrapText="1"/>
    </xf>
    <xf numFmtId="165" fontId="25" fillId="0" borderId="0" xfId="94" applyFont="1" applyFill="1" applyAlignment="1">
      <alignment horizontal="left" wrapText="1"/>
    </xf>
    <xf numFmtId="49" fontId="25" fillId="0" borderId="1" xfId="47" applyNumberFormat="1" applyFont="1" applyBorder="1" applyAlignment="1">
      <alignment horizontal="center" vertical="top" wrapText="1"/>
    </xf>
    <xf numFmtId="49" fontId="25" fillId="0" borderId="1" xfId="47" applyNumberFormat="1" applyFont="1" applyBorder="1" applyAlignment="1">
      <alignment horizontal="center" wrapText="1"/>
    </xf>
    <xf numFmtId="0" fontId="22" fillId="0" borderId="0" xfId="0" applyFont="1" applyAlignment="1">
      <alignment horizontal="justify"/>
    </xf>
    <xf numFmtId="0" fontId="22" fillId="0" borderId="0" xfId="0" applyFont="1" applyAlignment="1">
      <alignment horizontal="center"/>
    </xf>
    <xf numFmtId="0" fontId="22" fillId="0" borderId="0" xfId="0" applyFont="1" applyAlignment="1">
      <alignment horizontal="right" wrapText="1"/>
    </xf>
    <xf numFmtId="0" fontId="0" fillId="0" borderId="0" xfId="0" applyAlignment="1">
      <alignment wrapText="1"/>
    </xf>
    <xf numFmtId="4" fontId="25" fillId="0" borderId="1" xfId="0" applyNumberFormat="1" applyFont="1" applyFill="1" applyBorder="1" applyAlignment="1">
      <alignment horizontal="center" vertical="center" wrapText="1"/>
    </xf>
    <xf numFmtId="4" fontId="25" fillId="0" borderId="1" xfId="0" applyNumberFormat="1" applyFont="1" applyBorder="1" applyAlignment="1">
      <alignment horizontal="center" vertical="center" wrapText="1"/>
    </xf>
    <xf numFmtId="0" fontId="25" fillId="0" borderId="2" xfId="0" applyFont="1" applyBorder="1" applyAlignment="1">
      <alignment horizontal="center" vertical="center" wrapText="1"/>
    </xf>
    <xf numFmtId="0" fontId="25" fillId="0" borderId="0" xfId="0" applyFont="1" applyFill="1" applyAlignment="1"/>
    <xf numFmtId="0" fontId="51" fillId="0" borderId="0" xfId="0" applyFont="1"/>
    <xf numFmtId="0" fontId="25" fillId="0" borderId="0" xfId="0" applyFont="1" applyFill="1" applyAlignment="1">
      <alignment horizontal="left"/>
    </xf>
    <xf numFmtId="0" fontId="25" fillId="0" borderId="0" xfId="0" applyFont="1" applyAlignment="1"/>
    <xf numFmtId="0" fontId="5" fillId="0" borderId="0" xfId="0" applyFont="1" applyAlignment="1">
      <alignment horizontal="center" vertical="center"/>
    </xf>
    <xf numFmtId="0" fontId="24" fillId="2" borderId="0" xfId="0" applyFont="1" applyFill="1" applyAlignment="1">
      <alignment horizontal="center" vertical="center"/>
    </xf>
    <xf numFmtId="0" fontId="24" fillId="0" borderId="0" xfId="0" applyFont="1" applyAlignment="1">
      <alignment horizontal="center" vertical="center"/>
    </xf>
    <xf numFmtId="0" fontId="17" fillId="0" borderId="0" xfId="0" applyFont="1" applyFill="1" applyAlignment="1">
      <alignment wrapText="1"/>
    </xf>
    <xf numFmtId="0" fontId="25" fillId="0" borderId="0" xfId="0" applyFont="1" applyBorder="1" applyAlignment="1">
      <alignment horizontal="left"/>
    </xf>
    <xf numFmtId="0" fontId="26" fillId="0" borderId="0" xfId="0" applyFont="1" applyAlignment="1"/>
    <xf numFmtId="0" fontId="25" fillId="0" borderId="0" xfId="0" applyFont="1" applyFill="1" applyAlignment="1">
      <alignment wrapText="1"/>
    </xf>
    <xf numFmtId="0" fontId="52" fillId="0" borderId="0" xfId="0" applyFont="1"/>
    <xf numFmtId="0" fontId="25" fillId="0" borderId="3" xfId="0" applyFont="1" applyFill="1" applyBorder="1" applyAlignment="1">
      <alignment horizontal="left"/>
    </xf>
    <xf numFmtId="0" fontId="4" fillId="0" borderId="0" xfId="58" applyFont="1" applyFill="1" applyAlignment="1">
      <alignment horizontal="right"/>
    </xf>
    <xf numFmtId="0" fontId="32" fillId="0" borderId="0" xfId="58" applyFont="1" applyFill="1" applyAlignment="1">
      <alignment horizontal="center" wrapText="1"/>
    </xf>
    <xf numFmtId="0" fontId="32" fillId="0" borderId="0" xfId="58" applyFont="1" applyFill="1" applyAlignment="1">
      <alignment horizontal="right" wrapText="1"/>
    </xf>
    <xf numFmtId="0" fontId="5" fillId="0" borderId="0" xfId="58" applyFont="1" applyFill="1" applyAlignment="1">
      <alignment horizontal="left" vertical="top" wrapText="1"/>
    </xf>
    <xf numFmtId="0" fontId="25" fillId="0" borderId="3" xfId="0" applyFont="1" applyBorder="1" applyAlignment="1">
      <alignment horizontal="left"/>
    </xf>
    <xf numFmtId="2" fontId="25" fillId="0" borderId="0" xfId="0" applyNumberFormat="1" applyFont="1" applyBorder="1" applyAlignment="1">
      <alignment wrapText="1"/>
    </xf>
    <xf numFmtId="0" fontId="25" fillId="0" borderId="0" xfId="0" applyFont="1" applyFill="1" applyAlignment="1">
      <alignment horizontal="right" wrapText="1"/>
    </xf>
    <xf numFmtId="0" fontId="25" fillId="0" borderId="0" xfId="0" applyFont="1" applyAlignment="1">
      <alignment horizontal="right" wrapText="1"/>
    </xf>
    <xf numFmtId="0" fontId="25" fillId="0" borderId="1" xfId="0" applyFont="1" applyBorder="1" applyAlignment="1">
      <alignment horizontal="center" wrapText="1"/>
    </xf>
    <xf numFmtId="0" fontId="41" fillId="0" borderId="0" xfId="0" applyFont="1" applyAlignment="1">
      <alignment horizontal="left"/>
    </xf>
    <xf numFmtId="0" fontId="53" fillId="0" borderId="0" xfId="0" applyFont="1" applyAlignment="1"/>
    <xf numFmtId="0" fontId="52" fillId="0" borderId="0" xfId="0" applyFont="1" applyAlignment="1">
      <alignment horizontal="center"/>
    </xf>
    <xf numFmtId="0" fontId="25" fillId="0" borderId="0" xfId="0" applyFont="1" applyFill="1" applyBorder="1" applyAlignment="1">
      <alignment horizontal="center" vertical="center" wrapText="1"/>
    </xf>
    <xf numFmtId="14" fontId="25" fillId="0" borderId="1" xfId="0" applyNumberFormat="1" applyFont="1" applyBorder="1" applyAlignment="1">
      <alignment horizontal="center"/>
    </xf>
    <xf numFmtId="14" fontId="25" fillId="0" borderId="0" xfId="0" applyNumberFormat="1" applyFont="1" applyFill="1" applyBorder="1" applyAlignment="1">
      <alignment horizontal="center"/>
    </xf>
    <xf numFmtId="0" fontId="25" fillId="0" borderId="17" xfId="0" applyFont="1" applyBorder="1" applyAlignment="1">
      <alignment horizontal="center" vertical="center" wrapText="1"/>
    </xf>
    <xf numFmtId="0" fontId="42" fillId="0" borderId="1" xfId="0" applyFont="1" applyBorder="1" applyAlignment="1">
      <alignment horizontal="center" vertical="center"/>
    </xf>
    <xf numFmtId="49" fontId="25" fillId="0" borderId="1" xfId="0" applyNumberFormat="1" applyFont="1" applyBorder="1" applyAlignment="1">
      <alignment vertical="center" wrapText="1"/>
    </xf>
    <xf numFmtId="0" fontId="25" fillId="0" borderId="1" xfId="0" applyFont="1" applyBorder="1" applyAlignment="1">
      <alignment vertical="center" wrapText="1"/>
    </xf>
    <xf numFmtId="175" fontId="25" fillId="2" borderId="1" xfId="0" applyNumberFormat="1" applyFont="1" applyFill="1" applyBorder="1" applyAlignment="1">
      <alignment horizontal="center" vertical="center" wrapText="1"/>
    </xf>
    <xf numFmtId="175" fontId="25" fillId="0" borderId="1" xfId="0" applyNumberFormat="1" applyFont="1" applyBorder="1" applyAlignment="1">
      <alignment horizontal="center" vertical="center" wrapText="1"/>
    </xf>
    <xf numFmtId="2" fontId="25" fillId="0" borderId="1" xfId="0" applyNumberFormat="1" applyFont="1" applyBorder="1" applyAlignment="1">
      <alignment horizontal="center" vertical="center" wrapText="1"/>
    </xf>
    <xf numFmtId="2" fontId="25" fillId="0" borderId="1" xfId="0" applyNumberFormat="1" applyFont="1" applyFill="1" applyBorder="1" applyAlignment="1">
      <alignment horizontal="center" vertical="center" wrapText="1"/>
    </xf>
    <xf numFmtId="49" fontId="25" fillId="0" borderId="1" xfId="0" applyNumberFormat="1" applyFont="1" applyBorder="1" applyAlignment="1">
      <alignment horizontal="center" vertical="center" wrapText="1"/>
    </xf>
    <xf numFmtId="0" fontId="22" fillId="0" borderId="0" xfId="0" applyFont="1" applyAlignment="1">
      <alignment horizontal="left" wrapText="1"/>
    </xf>
    <xf numFmtId="0" fontId="22" fillId="0" borderId="3" xfId="0" applyFont="1" applyBorder="1"/>
    <xf numFmtId="0" fontId="22" fillId="0" borderId="1" xfId="0" applyFont="1" applyBorder="1" applyAlignment="1">
      <alignment horizontal="left" vertical="center" wrapText="1"/>
    </xf>
    <xf numFmtId="0" fontId="25" fillId="0" borderId="0" xfId="47" applyFont="1" applyAlignment="1">
      <alignment vertical="center" wrapText="1"/>
    </xf>
    <xf numFmtId="0" fontId="22" fillId="0" borderId="0" xfId="0" applyFont="1" applyAlignment="1">
      <alignment horizontal="left"/>
    </xf>
    <xf numFmtId="0" fontId="25" fillId="0" borderId="3" xfId="46" applyFont="1" applyBorder="1" applyAlignment="1">
      <alignment horizontal="left" wrapText="1"/>
    </xf>
    <xf numFmtId="0" fontId="25" fillId="0" borderId="3" xfId="46" applyFont="1" applyBorder="1" applyAlignment="1">
      <alignment horizontal="center" wrapText="1"/>
    </xf>
    <xf numFmtId="0" fontId="25" fillId="0" borderId="0" xfId="46" applyFont="1" applyBorder="1" applyAlignment="1">
      <alignment horizontal="center"/>
    </xf>
    <xf numFmtId="0" fontId="25" fillId="0" borderId="0" xfId="46" applyFont="1" applyBorder="1" applyAlignment="1">
      <alignment horizontal="center" wrapText="1"/>
    </xf>
    <xf numFmtId="0" fontId="25" fillId="0" borderId="0" xfId="46" applyFont="1" applyBorder="1" applyAlignment="1">
      <alignment wrapText="1"/>
    </xf>
    <xf numFmtId="0" fontId="25" fillId="0" borderId="3" xfId="46" applyFont="1" applyBorder="1" applyAlignment="1">
      <alignment wrapText="1"/>
    </xf>
    <xf numFmtId="0" fontId="25" fillId="0" borderId="4" xfId="46" applyFont="1" applyBorder="1" applyAlignment="1">
      <alignment wrapText="1"/>
    </xf>
    <xf numFmtId="0" fontId="25" fillId="0" borderId="0" xfId="47" applyFont="1" applyAlignment="1">
      <alignment horizontal="left" vertical="center" wrapText="1"/>
    </xf>
    <xf numFmtId="0" fontId="25" fillId="0" borderId="0" xfId="47" applyFont="1" applyBorder="1" applyAlignment="1">
      <alignment horizontal="right"/>
    </xf>
    <xf numFmtId="4" fontId="28" fillId="0" borderId="0" xfId="47" applyNumberFormat="1" applyFont="1" applyBorder="1" applyAlignment="1">
      <alignment horizontal="center"/>
    </xf>
    <xf numFmtId="0" fontId="25" fillId="0" borderId="1" xfId="0" applyNumberFormat="1" applyFont="1" applyFill="1" applyBorder="1" applyAlignment="1" applyProtection="1">
      <alignment horizontal="justify" vertical="top" wrapText="1"/>
    </xf>
    <xf numFmtId="0" fontId="54" fillId="0" borderId="3" xfId="0" applyFont="1" applyBorder="1" applyAlignment="1">
      <alignment horizontal="left" wrapText="1"/>
    </xf>
    <xf numFmtId="4" fontId="22" fillId="0" borderId="5" xfId="47" applyNumberFormat="1" applyFont="1" applyBorder="1" applyAlignment="1">
      <alignment horizontal="center" vertical="center"/>
    </xf>
    <xf numFmtId="2" fontId="28" fillId="0" borderId="0" xfId="47" applyNumberFormat="1" applyFont="1" applyBorder="1" applyAlignment="1">
      <alignment horizontal="center"/>
    </xf>
    <xf numFmtId="0" fontId="5" fillId="0" borderId="0" xfId="0" applyFont="1" applyAlignment="1">
      <alignment horizontal="center" vertical="top"/>
    </xf>
    <xf numFmtId="0" fontId="25" fillId="0" borderId="0" xfId="46" applyFont="1" applyBorder="1" applyAlignment="1">
      <alignment horizontal="center" vertical="top"/>
    </xf>
    <xf numFmtId="0" fontId="25" fillId="0" borderId="0" xfId="46" applyFont="1" applyAlignment="1">
      <alignment horizontal="center" vertical="top" wrapText="1"/>
    </xf>
    <xf numFmtId="0" fontId="25" fillId="0" borderId="0" xfId="46" applyFont="1" applyBorder="1" applyAlignment="1">
      <alignment horizontal="center" vertical="top" wrapText="1"/>
    </xf>
    <xf numFmtId="0" fontId="5" fillId="0" borderId="0" xfId="0" applyFont="1" applyAlignment="1">
      <alignment horizontal="center" vertical="top" wrapText="1"/>
    </xf>
    <xf numFmtId="0" fontId="25" fillId="0" borderId="0" xfId="46" applyFont="1" applyAlignment="1">
      <alignment horizontal="left" vertical="top" wrapText="1"/>
    </xf>
    <xf numFmtId="0" fontId="25" fillId="0" borderId="0" xfId="46" applyFont="1" applyAlignment="1">
      <alignment horizontal="center" vertical="top"/>
    </xf>
    <xf numFmtId="0" fontId="25" fillId="0" borderId="0" xfId="46" applyFont="1" applyBorder="1" applyAlignment="1">
      <alignment horizontal="left" vertical="top" wrapText="1"/>
    </xf>
    <xf numFmtId="0" fontId="25" fillId="0" borderId="3" xfId="46" applyFont="1" applyBorder="1" applyAlignment="1">
      <alignment horizontal="left" vertical="top" wrapText="1"/>
    </xf>
    <xf numFmtId="0" fontId="25" fillId="0" borderId="0" xfId="47" applyFont="1" applyFill="1" applyBorder="1" applyAlignment="1">
      <alignment horizontal="left" vertical="center" wrapText="1"/>
    </xf>
    <xf numFmtId="0" fontId="25" fillId="0" borderId="0" xfId="46" applyFont="1" applyAlignment="1">
      <alignment horizontal="right" vertical="top" wrapText="1"/>
    </xf>
    <xf numFmtId="0" fontId="28" fillId="0" borderId="0" xfId="0" applyFont="1" applyFill="1" applyAlignment="1">
      <alignment horizontal="center" wrapText="1"/>
    </xf>
    <xf numFmtId="0" fontId="25" fillId="0" borderId="0" xfId="46" applyFont="1" applyBorder="1" applyAlignment="1">
      <alignment vertical="top" wrapText="1"/>
    </xf>
    <xf numFmtId="0" fontId="25" fillId="0" borderId="4" xfId="46" applyFont="1" applyBorder="1" applyAlignment="1">
      <alignment horizontal="center" vertical="top" wrapText="1"/>
    </xf>
    <xf numFmtId="0" fontId="34" fillId="0" borderId="0" xfId="47" applyNumberFormat="1" applyFont="1" applyBorder="1" applyAlignment="1">
      <alignment horizontal="center" vertical="top"/>
    </xf>
    <xf numFmtId="0" fontId="17" fillId="0" borderId="0" xfId="47" applyNumberFormat="1" applyFont="1" applyBorder="1" applyAlignment="1">
      <alignment horizontal="left"/>
    </xf>
    <xf numFmtId="0" fontId="17" fillId="0" borderId="0" xfId="47" applyNumberFormat="1" applyFont="1" applyBorder="1" applyAlignment="1">
      <alignment horizontal="right"/>
    </xf>
    <xf numFmtId="0" fontId="17" fillId="0" borderId="0" xfId="47" applyNumberFormat="1" applyFont="1" applyBorder="1" applyAlignment="1">
      <alignment horizontal="center" vertical="center"/>
    </xf>
    <xf numFmtId="0" fontId="17" fillId="0" borderId="0" xfId="47" applyNumberFormat="1" applyFont="1" applyBorder="1" applyAlignment="1">
      <alignment horizontal="center"/>
    </xf>
    <xf numFmtId="0" fontId="37" fillId="0" borderId="19" xfId="47" applyNumberFormat="1" applyFont="1" applyBorder="1" applyAlignment="1">
      <alignment horizontal="center"/>
    </xf>
    <xf numFmtId="0" fontId="37" fillId="0" borderId="0" xfId="47" applyNumberFormat="1" applyFont="1" applyBorder="1" applyAlignment="1">
      <alignment horizontal="center"/>
    </xf>
    <xf numFmtId="0" fontId="34" fillId="0" borderId="0" xfId="47" applyNumberFormat="1" applyFont="1" applyBorder="1" applyAlignment="1">
      <alignment horizontal="left" vertical="top"/>
    </xf>
    <xf numFmtId="0" fontId="34" fillId="0" borderId="0" xfId="47" applyNumberFormat="1" applyFont="1" applyBorder="1" applyAlignment="1">
      <alignment horizontal="center" vertical="center"/>
    </xf>
    <xf numFmtId="0" fontId="25" fillId="2" borderId="2" xfId="47" applyFont="1" applyFill="1" applyBorder="1" applyAlignment="1">
      <alignment horizontal="center" vertical="center" wrapText="1"/>
    </xf>
    <xf numFmtId="0" fontId="25" fillId="2" borderId="1" xfId="47" applyFont="1" applyFill="1" applyBorder="1" applyAlignment="1">
      <alignment horizontal="center" vertical="center" wrapText="1"/>
    </xf>
    <xf numFmtId="3" fontId="25" fillId="0" borderId="2" xfId="69" applyNumberFormat="1" applyFont="1" applyFill="1" applyBorder="1" applyAlignment="1">
      <alignment horizontal="center" vertical="center" wrapText="1"/>
    </xf>
    <xf numFmtId="0" fontId="22" fillId="0" borderId="1" xfId="0" applyFont="1" applyFill="1" applyBorder="1" applyAlignment="1">
      <alignment horizontal="center" wrapText="1"/>
    </xf>
    <xf numFmtId="0" fontId="22" fillId="0" borderId="1" xfId="0" applyFont="1" applyFill="1" applyBorder="1" applyAlignment="1">
      <alignment wrapText="1"/>
    </xf>
    <xf numFmtId="0" fontId="23" fillId="0" borderId="0" xfId="0" applyFont="1" applyFill="1" applyBorder="1" applyAlignment="1">
      <alignment horizontal="right" wrapText="1"/>
    </xf>
    <xf numFmtId="0" fontId="22" fillId="0" borderId="3" xfId="46" applyFont="1" applyBorder="1" applyAlignment="1">
      <alignment horizontal="left" wrapText="1"/>
    </xf>
    <xf numFmtId="0" fontId="22" fillId="0" borderId="0" xfId="46" applyFont="1" applyBorder="1" applyAlignment="1">
      <alignment horizontal="left" wrapText="1"/>
    </xf>
    <xf numFmtId="0" fontId="22" fillId="2" borderId="1" xfId="0" applyFont="1" applyFill="1" applyBorder="1" applyAlignment="1">
      <alignment wrapText="1"/>
    </xf>
    <xf numFmtId="1" fontId="25" fillId="0" borderId="1" xfId="0" applyNumberFormat="1" applyFont="1" applyBorder="1" applyAlignment="1">
      <alignment horizontal="center"/>
    </xf>
    <xf numFmtId="4" fontId="25" fillId="0" borderId="1" xfId="0" applyNumberFormat="1" applyFont="1" applyBorder="1" applyAlignment="1">
      <alignment horizontal="center"/>
    </xf>
    <xf numFmtId="4" fontId="25" fillId="0" borderId="0" xfId="0" applyNumberFormat="1" applyFont="1" applyBorder="1" applyAlignment="1">
      <alignment horizontal="center"/>
    </xf>
    <xf numFmtId="0" fontId="25" fillId="0" borderId="0" xfId="0" applyFont="1" applyBorder="1"/>
    <xf numFmtId="1" fontId="25" fillId="0" borderId="0" xfId="0" applyNumberFormat="1" applyFont="1" applyBorder="1" applyAlignment="1">
      <alignment horizontal="center"/>
    </xf>
    <xf numFmtId="0" fontId="25" fillId="0" borderId="3" xfId="0" applyFont="1" applyBorder="1" applyAlignment="1">
      <alignment horizontal="left" wrapText="1"/>
    </xf>
    <xf numFmtId="0" fontId="25" fillId="0" borderId="1" xfId="0" applyFont="1" applyBorder="1" applyAlignment="1">
      <alignment vertical="top"/>
    </xf>
    <xf numFmtId="1" fontId="25" fillId="0" borderId="1" xfId="0" applyNumberFormat="1" applyFont="1" applyBorder="1" applyAlignment="1">
      <alignment horizontal="center" vertical="top"/>
    </xf>
    <xf numFmtId="4" fontId="25" fillId="2" borderId="1" xfId="0" applyNumberFormat="1" applyFont="1" applyFill="1" applyBorder="1" applyAlignment="1">
      <alignment horizontal="center" vertical="top"/>
    </xf>
    <xf numFmtId="4" fontId="25" fillId="0" borderId="1" xfId="0" applyNumberFormat="1" applyFont="1" applyBorder="1" applyAlignment="1">
      <alignment horizontal="center" vertical="top"/>
    </xf>
    <xf numFmtId="4" fontId="28" fillId="0" borderId="1" xfId="0" applyNumberFormat="1" applyFont="1" applyBorder="1" applyAlignment="1">
      <alignment horizontal="center" vertical="top"/>
    </xf>
    <xf numFmtId="0" fontId="25" fillId="0" borderId="0" xfId="0" applyFont="1" applyAlignment="1">
      <alignment vertical="top"/>
    </xf>
    <xf numFmtId="1" fontId="25" fillId="0" borderId="1" xfId="0" applyNumberFormat="1" applyFont="1" applyBorder="1" applyAlignment="1">
      <alignment horizontal="center" vertical="center"/>
    </xf>
    <xf numFmtId="4" fontId="25" fillId="2" borderId="1" xfId="0" applyNumberFormat="1" applyFont="1" applyFill="1" applyBorder="1" applyAlignment="1">
      <alignment horizontal="center" vertical="center"/>
    </xf>
    <xf numFmtId="0" fontId="25" fillId="0" borderId="0" xfId="0" applyFont="1" applyAlignment="1">
      <alignment vertical="center"/>
    </xf>
    <xf numFmtId="0" fontId="25" fillId="0" borderId="1" xfId="0" applyFont="1" applyFill="1" applyBorder="1" applyAlignment="1">
      <alignment vertical="top"/>
    </xf>
    <xf numFmtId="4" fontId="25" fillId="0" borderId="1" xfId="0" applyNumberFormat="1" applyFont="1" applyFill="1" applyBorder="1" applyAlignment="1">
      <alignment horizontal="center" vertical="top"/>
    </xf>
    <xf numFmtId="0" fontId="25" fillId="0" borderId="0" xfId="0" applyFont="1" applyBorder="1" applyAlignment="1">
      <alignment horizontal="center" vertical="top"/>
    </xf>
    <xf numFmtId="0" fontId="5" fillId="0" borderId="0" xfId="0" applyFont="1" applyBorder="1" applyAlignment="1">
      <alignment vertical="top"/>
    </xf>
    <xf numFmtId="0" fontId="28" fillId="0" borderId="0" xfId="47" applyFont="1" applyBorder="1" applyAlignment="1">
      <alignment horizontal="center" vertical="top" wrapText="1"/>
    </xf>
    <xf numFmtId="0" fontId="28" fillId="0" borderId="3" xfId="47" applyFont="1" applyBorder="1" applyAlignment="1">
      <alignment horizontal="center" wrapText="1"/>
    </xf>
    <xf numFmtId="4" fontId="25" fillId="0" borderId="1" xfId="47" applyNumberFormat="1" applyFont="1" applyFill="1" applyBorder="1" applyAlignment="1">
      <alignment horizontal="center" vertical="center" wrapText="1"/>
    </xf>
    <xf numFmtId="0" fontId="5" fillId="0" borderId="0" xfId="47" applyFont="1" applyFill="1" applyBorder="1" applyAlignment="1">
      <alignment horizontal="left" vertical="center" wrapText="1"/>
    </xf>
    <xf numFmtId="0" fontId="8" fillId="0" borderId="0" xfId="47" applyFill="1"/>
    <xf numFmtId="0" fontId="22" fillId="4" borderId="1" xfId="47" applyFont="1" applyFill="1" applyBorder="1" applyAlignment="1">
      <alignment horizontal="center" vertical="top" wrapText="1"/>
    </xf>
    <xf numFmtId="0" fontId="28" fillId="0" borderId="1" xfId="47" applyFont="1" applyBorder="1" applyAlignment="1">
      <alignment vertical="top" wrapText="1"/>
    </xf>
    <xf numFmtId="173" fontId="56" fillId="0" borderId="1" xfId="47" applyNumberFormat="1" applyFont="1" applyBorder="1" applyAlignment="1">
      <alignment horizontal="center" vertical="center" wrapText="1"/>
    </xf>
    <xf numFmtId="0" fontId="57" fillId="0" borderId="0" xfId="47" applyFont="1"/>
    <xf numFmtId="4" fontId="28" fillId="0" borderId="1" xfId="47" applyNumberFormat="1" applyFont="1" applyBorder="1" applyAlignment="1">
      <alignment horizontal="center" vertical="top" wrapText="1"/>
    </xf>
    <xf numFmtId="4" fontId="8" fillId="0" borderId="0" xfId="47" applyNumberFormat="1"/>
    <xf numFmtId="0" fontId="25" fillId="0" borderId="20" xfId="0" applyFont="1" applyBorder="1" applyAlignment="1">
      <alignment horizontal="center" vertical="center" shrinkToFit="1"/>
    </xf>
    <xf numFmtId="0" fontId="25" fillId="0" borderId="0" xfId="0" applyFont="1" applyAlignment="1">
      <alignment horizontal="center" wrapText="1"/>
    </xf>
    <xf numFmtId="165" fontId="25" fillId="0" borderId="6" xfId="86" applyFont="1" applyBorder="1" applyAlignment="1">
      <alignment horizontal="right" wrapText="1"/>
    </xf>
    <xf numFmtId="0" fontId="25" fillId="0" borderId="0" xfId="0" applyFont="1" applyBorder="1" applyAlignment="1">
      <alignment horizontal="left" wrapText="1"/>
    </xf>
    <xf numFmtId="0" fontId="25" fillId="0" borderId="6" xfId="0" applyFont="1" applyBorder="1" applyAlignment="1">
      <alignment horizontal="center" vertical="center" shrinkToFit="1"/>
    </xf>
    <xf numFmtId="0" fontId="25" fillId="0" borderId="7" xfId="0" applyFont="1" applyBorder="1" applyAlignment="1">
      <alignment horizontal="center" vertical="center" shrinkToFit="1"/>
    </xf>
    <xf numFmtId="4" fontId="58" fillId="0" borderId="0" xfId="0" applyNumberFormat="1" applyFont="1" applyBorder="1" applyAlignment="1">
      <alignment vertical="center"/>
    </xf>
    <xf numFmtId="4" fontId="42" fillId="0" borderId="3" xfId="0" applyNumberFormat="1" applyFont="1" applyBorder="1" applyAlignment="1">
      <alignment vertical="center"/>
    </xf>
    <xf numFmtId="0" fontId="25" fillId="0" borderId="15" xfId="0" applyFont="1" applyBorder="1" applyAlignment="1">
      <alignment horizontal="center" vertical="center" shrinkToFit="1"/>
    </xf>
    <xf numFmtId="165" fontId="25" fillId="0" borderId="7" xfId="86" applyFont="1" applyBorder="1" applyAlignment="1">
      <alignment horizontal="right" wrapText="1"/>
    </xf>
    <xf numFmtId="0" fontId="25" fillId="0" borderId="3" xfId="0" applyFont="1" applyBorder="1" applyAlignment="1">
      <alignment horizontal="center" wrapText="1"/>
    </xf>
    <xf numFmtId="0" fontId="25" fillId="0" borderId="3" xfId="0" applyFont="1" applyBorder="1" applyAlignment="1">
      <alignment horizontal="center" shrinkToFit="1"/>
    </xf>
    <xf numFmtId="4" fontId="25" fillId="0" borderId="15" xfId="47" applyNumberFormat="1" applyFont="1" applyBorder="1" applyAlignment="1">
      <alignment horizontal="center" vertical="center" wrapText="1"/>
    </xf>
    <xf numFmtId="4" fontId="25" fillId="0" borderId="15" xfId="47" applyNumberFormat="1" applyFont="1" applyBorder="1" applyAlignment="1">
      <alignment horizontal="center" wrapText="1"/>
    </xf>
    <xf numFmtId="4" fontId="25" fillId="0" borderId="15" xfId="0" applyNumberFormat="1" applyFont="1" applyBorder="1" applyAlignment="1">
      <alignment horizontal="center" wrapText="1"/>
    </xf>
    <xf numFmtId="4" fontId="25" fillId="0" borderId="20" xfId="0" applyNumberFormat="1" applyFont="1" applyBorder="1" applyAlignment="1">
      <alignment horizontal="center" wrapText="1"/>
    </xf>
    <xf numFmtId="4" fontId="25" fillId="0" borderId="2" xfId="0" applyNumberFormat="1" applyFont="1" applyBorder="1" applyAlignment="1">
      <alignment horizontal="center" wrapText="1"/>
    </xf>
    <xf numFmtId="4" fontId="28" fillId="0" borderId="2" xfId="47" applyNumberFormat="1" applyFont="1" applyBorder="1" applyAlignment="1">
      <alignment horizontal="center" wrapText="1"/>
    </xf>
    <xf numFmtId="0" fontId="24" fillId="0" borderId="0" xfId="47" applyFont="1" applyFill="1" applyAlignment="1">
      <alignment vertical="top" wrapText="1"/>
    </xf>
    <xf numFmtId="0" fontId="33" fillId="0" borderId="0" xfId="47" applyFont="1" applyFill="1"/>
    <xf numFmtId="0" fontId="25" fillId="0" borderId="0" xfId="47" applyFont="1" applyFill="1" applyBorder="1" applyAlignment="1">
      <alignment horizontal="left" vertical="top" wrapText="1"/>
    </xf>
    <xf numFmtId="0" fontId="25" fillId="0" borderId="0" xfId="47" applyFont="1" applyFill="1" applyAlignment="1">
      <alignment horizontal="left"/>
    </xf>
    <xf numFmtId="0" fontId="29" fillId="0" borderId="0" xfId="47" applyFont="1" applyAlignment="1">
      <alignment horizontal="center"/>
    </xf>
    <xf numFmtId="0" fontId="25" fillId="0" borderId="0" xfId="47" applyFont="1" applyFill="1"/>
    <xf numFmtId="0" fontId="25" fillId="0" borderId="1" xfId="47" applyFont="1" applyFill="1" applyBorder="1" applyAlignment="1">
      <alignment vertical="top" wrapText="1"/>
    </xf>
    <xf numFmtId="174" fontId="25" fillId="0" borderId="1" xfId="47" applyNumberFormat="1" applyFont="1" applyFill="1" applyBorder="1" applyAlignment="1">
      <alignment horizontal="center" vertical="top" wrapText="1"/>
    </xf>
    <xf numFmtId="4" fontId="25" fillId="0" borderId="1" xfId="47" applyNumberFormat="1" applyFont="1" applyFill="1" applyBorder="1" applyAlignment="1">
      <alignment horizontal="center" vertical="top" wrapText="1"/>
    </xf>
    <xf numFmtId="0" fontId="25" fillId="0" borderId="0" xfId="47" applyFont="1" applyFill="1" applyBorder="1" applyAlignment="1">
      <alignment vertical="top" wrapText="1"/>
    </xf>
    <xf numFmtId="0" fontId="5" fillId="0" borderId="0" xfId="47" applyFont="1" applyFill="1" applyBorder="1" applyAlignment="1">
      <alignment vertical="top" wrapText="1"/>
    </xf>
    <xf numFmtId="0" fontId="5" fillId="0" borderId="0" xfId="47" applyFont="1" applyFill="1" applyAlignment="1">
      <alignment vertical="top" wrapText="1"/>
    </xf>
    <xf numFmtId="0" fontId="5" fillId="0" borderId="0" xfId="47" applyFont="1" applyFill="1" applyBorder="1" applyAlignment="1">
      <alignment horizontal="center" vertical="top" wrapText="1"/>
    </xf>
    <xf numFmtId="0" fontId="25" fillId="0" borderId="0" xfId="47" applyFont="1" applyFill="1" applyBorder="1" applyAlignment="1">
      <alignment horizontal="center" vertical="top" wrapText="1"/>
    </xf>
    <xf numFmtId="0" fontId="22" fillId="0" borderId="3" xfId="0" applyFont="1" applyBorder="1" applyAlignment="1"/>
    <xf numFmtId="0" fontId="25" fillId="0" borderId="1" xfId="47" applyFont="1" applyFill="1" applyBorder="1" applyAlignment="1">
      <alignment horizontal="center" vertical="top" wrapText="1"/>
    </xf>
    <xf numFmtId="49" fontId="25" fillId="0" borderId="1" xfId="47" applyNumberFormat="1" applyFont="1" applyFill="1" applyBorder="1" applyAlignment="1">
      <alignment horizontal="right"/>
    </xf>
    <xf numFmtId="165" fontId="22" fillId="0" borderId="1" xfId="85" applyFont="1" applyBorder="1"/>
    <xf numFmtId="2" fontId="25" fillId="0" borderId="1" xfId="47" applyNumberFormat="1" applyFont="1" applyFill="1" applyBorder="1" applyAlignment="1">
      <alignment horizontal="center" vertical="top" wrapText="1"/>
    </xf>
    <xf numFmtId="4" fontId="25" fillId="0" borderId="1" xfId="47" applyNumberFormat="1" applyFont="1" applyFill="1" applyBorder="1" applyAlignment="1">
      <alignment horizontal="right"/>
    </xf>
    <xf numFmtId="49" fontId="25" fillId="0" borderId="1" xfId="47" applyNumberFormat="1" applyFont="1" applyFill="1" applyBorder="1" applyAlignment="1">
      <alignment horizontal="center"/>
    </xf>
    <xf numFmtId="0" fontId="5" fillId="0" borderId="0" xfId="47" applyFont="1" applyFill="1" applyAlignment="1"/>
    <xf numFmtId="3" fontId="25" fillId="0" borderId="1" xfId="47" applyNumberFormat="1" applyFont="1" applyFill="1" applyBorder="1" applyAlignment="1">
      <alignment horizontal="right"/>
    </xf>
    <xf numFmtId="0" fontId="25" fillId="0" borderId="0" xfId="47" applyFont="1" applyFill="1" applyAlignment="1">
      <alignment horizontal="left" vertical="top" wrapText="1"/>
    </xf>
    <xf numFmtId="4" fontId="8" fillId="0" borderId="16" xfId="47" applyNumberFormat="1" applyBorder="1" applyAlignment="1">
      <alignment horizontal="center" vertical="center" wrapText="1"/>
    </xf>
    <xf numFmtId="4" fontId="8" fillId="0" borderId="6" xfId="47" applyNumberFormat="1" applyFill="1" applyBorder="1" applyAlignment="1">
      <alignment horizontal="center" vertical="center" wrapText="1"/>
    </xf>
    <xf numFmtId="0" fontId="11" fillId="0" borderId="0" xfId="47" applyFont="1" applyAlignment="1">
      <alignment wrapText="1"/>
    </xf>
    <xf numFmtId="0" fontId="8" fillId="0" borderId="0" xfId="47" applyAlignment="1">
      <alignment horizontal="right"/>
    </xf>
    <xf numFmtId="176" fontId="8" fillId="0" borderId="1" xfId="47" applyNumberFormat="1" applyBorder="1" applyAlignment="1">
      <alignment horizontal="left"/>
    </xf>
    <xf numFmtId="4" fontId="8" fillId="0" borderId="1" xfId="47" applyNumberFormat="1" applyFont="1" applyBorder="1"/>
    <xf numFmtId="177" fontId="61" fillId="0" borderId="0" xfId="47" applyNumberFormat="1" applyFont="1"/>
    <xf numFmtId="177" fontId="62" fillId="0" borderId="0" xfId="47" applyNumberFormat="1" applyFont="1"/>
    <xf numFmtId="165" fontId="8" fillId="0" borderId="0" xfId="47" applyNumberFormat="1"/>
    <xf numFmtId="176" fontId="8" fillId="0" borderId="1" xfId="47" applyNumberFormat="1" applyFill="1" applyBorder="1" applyAlignment="1">
      <alignment horizontal="left"/>
    </xf>
    <xf numFmtId="4" fontId="8" fillId="0" borderId="1" xfId="47" applyNumberFormat="1" applyFont="1" applyFill="1" applyBorder="1"/>
    <xf numFmtId="165" fontId="8" fillId="0" borderId="0" xfId="47" applyNumberFormat="1" applyFill="1"/>
    <xf numFmtId="165" fontId="59" fillId="0" borderId="0" xfId="47" applyNumberFormat="1" applyFont="1"/>
    <xf numFmtId="176" fontId="57" fillId="0" borderId="16" xfId="47" applyNumberFormat="1" applyFont="1" applyBorder="1" applyAlignment="1">
      <alignment horizontal="left"/>
    </xf>
    <xf numFmtId="4" fontId="63" fillId="0" borderId="1" xfId="47" applyNumberFormat="1" applyFont="1" applyBorder="1"/>
    <xf numFmtId="0" fontId="63" fillId="0" borderId="0" xfId="47" applyFont="1"/>
    <xf numFmtId="4" fontId="63" fillId="0" borderId="0" xfId="47" applyNumberFormat="1" applyFont="1" applyBorder="1"/>
    <xf numFmtId="176" fontId="57" fillId="0" borderId="16" xfId="47" applyNumberFormat="1" applyFont="1" applyBorder="1" applyAlignment="1">
      <alignment horizontal="right"/>
    </xf>
    <xf numFmtId="4" fontId="64" fillId="0" borderId="0" xfId="47" applyNumberFormat="1" applyFont="1" applyFill="1" applyBorder="1" applyAlignment="1">
      <alignment horizontal="right"/>
    </xf>
    <xf numFmtId="4" fontId="63" fillId="0" borderId="0" xfId="47" applyNumberFormat="1" applyFont="1" applyFill="1" applyBorder="1" applyAlignment="1">
      <alignment horizontal="center"/>
    </xf>
    <xf numFmtId="4" fontId="66" fillId="0" borderId="0" xfId="47" applyNumberFormat="1" applyFont="1"/>
    <xf numFmtId="4" fontId="63" fillId="0" borderId="1" xfId="47" applyNumberFormat="1" applyFont="1" applyBorder="1" applyAlignment="1"/>
    <xf numFmtId="165" fontId="0" fillId="0" borderId="0" xfId="86" applyFont="1"/>
    <xf numFmtId="4" fontId="66" fillId="0" borderId="1" xfId="47" applyNumberFormat="1" applyFont="1" applyBorder="1"/>
    <xf numFmtId="176" fontId="8" fillId="0" borderId="0" xfId="47" applyNumberFormat="1" applyBorder="1" applyAlignment="1">
      <alignment horizontal="right"/>
    </xf>
    <xf numFmtId="4" fontId="8" fillId="0" borderId="1" xfId="47" applyNumberFormat="1" applyBorder="1" applyAlignment="1">
      <alignment horizontal="center" vertical="center" wrapText="1"/>
    </xf>
    <xf numFmtId="4" fontId="11" fillId="0" borderId="1" xfId="47" applyNumberFormat="1" applyFont="1" applyBorder="1" applyAlignment="1">
      <alignment horizontal="center" vertical="center" wrapText="1"/>
    </xf>
    <xf numFmtId="176" fontId="11" fillId="0" borderId="1" xfId="47" applyNumberFormat="1" applyFont="1" applyFill="1" applyBorder="1" applyAlignment="1">
      <alignment horizontal="left" wrapText="1"/>
    </xf>
    <xf numFmtId="4" fontId="8" fillId="0" borderId="1" xfId="47" applyNumberFormat="1" applyBorder="1"/>
    <xf numFmtId="176" fontId="63" fillId="0" borderId="1" xfId="47" applyNumberFormat="1" applyFont="1" applyBorder="1"/>
    <xf numFmtId="4" fontId="68" fillId="0" borderId="1" xfId="47" applyNumberFormat="1" applyFont="1" applyBorder="1"/>
    <xf numFmtId="176" fontId="8" fillId="0" borderId="0" xfId="47" applyNumberFormat="1"/>
    <xf numFmtId="2" fontId="57" fillId="5" borderId="1" xfId="47" applyNumberFormat="1" applyFont="1" applyFill="1" applyBorder="1" applyAlignment="1">
      <alignment horizontal="left" wrapText="1"/>
    </xf>
    <xf numFmtId="4" fontId="67" fillId="6" borderId="0" xfId="47" applyNumberFormat="1" applyFont="1" applyFill="1"/>
    <xf numFmtId="177" fontId="8" fillId="0" borderId="0" xfId="47" applyNumberFormat="1"/>
    <xf numFmtId="171" fontId="25" fillId="0" borderId="1" xfId="47" applyNumberFormat="1" applyFont="1" applyFill="1" applyBorder="1" applyAlignment="1">
      <alignment horizontal="left" vertical="top" wrapText="1"/>
    </xf>
    <xf numFmtId="49" fontId="25" fillId="0" borderId="0" xfId="47" applyNumberFormat="1" applyFont="1" applyFill="1" applyAlignment="1">
      <alignment horizontal="center"/>
    </xf>
    <xf numFmtId="49" fontId="28" fillId="0" borderId="0" xfId="47" applyNumberFormat="1" applyFont="1" applyFill="1" applyAlignment="1">
      <alignment horizontal="left"/>
    </xf>
    <xf numFmtId="49" fontId="28" fillId="0" borderId="0" xfId="47" applyNumberFormat="1" applyFont="1" applyFill="1" applyBorder="1" applyAlignment="1">
      <alignment horizontal="left"/>
    </xf>
    <xf numFmtId="0" fontId="25" fillId="0" borderId="0" xfId="46" applyFont="1" applyFill="1" applyBorder="1" applyAlignment="1">
      <alignment horizontal="left" wrapText="1"/>
    </xf>
    <xf numFmtId="0" fontId="25" fillId="0" borderId="0" xfId="46" applyFont="1" applyFill="1" applyBorder="1" applyAlignment="1">
      <alignment horizontal="center" vertical="top" wrapText="1"/>
    </xf>
    <xf numFmtId="0" fontId="25" fillId="0" borderId="0" xfId="46" applyFont="1" applyFill="1" applyBorder="1" applyAlignment="1">
      <alignment horizontal="left" vertical="top" wrapText="1"/>
    </xf>
    <xf numFmtId="0" fontId="5" fillId="0" borderId="0" xfId="47" applyFont="1" applyFill="1"/>
    <xf numFmtId="49" fontId="25" fillId="0" borderId="0" xfId="47" applyNumberFormat="1" applyFont="1" applyFill="1" applyAlignment="1">
      <alignment horizontal="left"/>
    </xf>
    <xf numFmtId="0" fontId="22" fillId="0" borderId="0" xfId="0" applyFont="1" applyFill="1"/>
    <xf numFmtId="0" fontId="25" fillId="0" borderId="0" xfId="46" applyFont="1" applyFill="1" applyAlignment="1">
      <alignment horizontal="left" wrapText="1"/>
    </xf>
    <xf numFmtId="0" fontId="25" fillId="0" borderId="0" xfId="46" applyFont="1" applyFill="1" applyAlignment="1">
      <alignment horizontal="center"/>
    </xf>
    <xf numFmtId="0" fontId="40" fillId="0" borderId="0" xfId="0" applyFont="1" applyFill="1" applyAlignment="1">
      <alignment horizontal="right"/>
    </xf>
    <xf numFmtId="3" fontId="25" fillId="0" borderId="1" xfId="47" applyNumberFormat="1" applyFont="1" applyFill="1" applyBorder="1" applyAlignment="1">
      <alignment horizontal="center" vertical="center"/>
    </xf>
    <xf numFmtId="0" fontId="40" fillId="0" borderId="0" xfId="0" applyFont="1"/>
    <xf numFmtId="0" fontId="5" fillId="0" borderId="0" xfId="47" applyFont="1" applyFill="1" applyAlignment="1">
      <alignment vertical="top"/>
    </xf>
    <xf numFmtId="0" fontId="40" fillId="0" borderId="0" xfId="0" applyFont="1" applyAlignment="1">
      <alignment horizontal="right"/>
    </xf>
    <xf numFmtId="0" fontId="4" fillId="0" borderId="1" xfId="47" applyFont="1" applyFill="1" applyBorder="1" applyAlignment="1">
      <alignment horizontal="center" vertical="top" wrapText="1"/>
    </xf>
    <xf numFmtId="170" fontId="25" fillId="2" borderId="2" xfId="66" applyNumberFormat="1" applyFont="1" applyFill="1" applyBorder="1" applyAlignment="1">
      <alignment horizontal="center" vertical="center" wrapText="1"/>
    </xf>
    <xf numFmtId="0" fontId="5" fillId="2" borderId="0" xfId="66" applyFont="1" applyFill="1" applyAlignment="1">
      <alignment horizontal="center" vertical="center" wrapText="1"/>
    </xf>
    <xf numFmtId="179" fontId="25" fillId="2" borderId="2" xfId="66" applyNumberFormat="1" applyFont="1" applyFill="1" applyBorder="1" applyAlignment="1">
      <alignment horizontal="center" vertical="center" wrapText="1"/>
    </xf>
    <xf numFmtId="180" fontId="25" fillId="0" borderId="2" xfId="66" applyNumberFormat="1" applyFont="1" applyFill="1" applyBorder="1" applyAlignment="1">
      <alignment horizontal="center" vertical="center" wrapText="1"/>
    </xf>
    <xf numFmtId="0" fontId="40" fillId="0" borderId="1" xfId="66" applyFont="1" applyFill="1" applyBorder="1" applyAlignment="1">
      <alignment horizontal="left" vertical="center" wrapText="1"/>
    </xf>
    <xf numFmtId="180" fontId="25" fillId="2" borderId="2" xfId="66" applyNumberFormat="1" applyFont="1" applyFill="1" applyBorder="1" applyAlignment="1">
      <alignment horizontal="center" vertical="center" wrapText="1"/>
    </xf>
    <xf numFmtId="178" fontId="25" fillId="0" borderId="2" xfId="66" applyNumberFormat="1" applyFont="1" applyFill="1" applyBorder="1" applyAlignment="1">
      <alignment horizontal="center" vertical="center" wrapText="1"/>
    </xf>
    <xf numFmtId="181" fontId="25" fillId="2" borderId="2" xfId="66" applyNumberFormat="1" applyFont="1" applyFill="1" applyBorder="1" applyAlignment="1">
      <alignment horizontal="center" vertical="center" wrapText="1"/>
    </xf>
    <xf numFmtId="166" fontId="28" fillId="0" borderId="1" xfId="66" applyNumberFormat="1" applyFont="1" applyFill="1" applyBorder="1" applyAlignment="1">
      <alignment horizontal="center" vertical="center" wrapText="1"/>
    </xf>
    <xf numFmtId="4" fontId="25" fillId="0" borderId="1" xfId="47" applyNumberFormat="1" applyFont="1" applyFill="1" applyBorder="1" applyAlignment="1">
      <alignment horizontal="center" vertical="center"/>
    </xf>
    <xf numFmtId="4" fontId="28" fillId="0" borderId="1" xfId="47" applyNumberFormat="1" applyFont="1" applyFill="1" applyBorder="1" applyAlignment="1">
      <alignment horizontal="right" vertical="center"/>
    </xf>
    <xf numFmtId="0" fontId="25" fillId="0" borderId="1" xfId="47" applyFont="1" applyFill="1" applyBorder="1" applyAlignment="1">
      <alignment horizontal="center" vertical="center"/>
    </xf>
    <xf numFmtId="3" fontId="25" fillId="0" borderId="1" xfId="47" applyNumberFormat="1" applyFont="1" applyFill="1" applyBorder="1" applyAlignment="1">
      <alignment horizontal="center"/>
    </xf>
    <xf numFmtId="0" fontId="25" fillId="0" borderId="1" xfId="47" applyFont="1" applyFill="1" applyBorder="1" applyAlignment="1">
      <alignment horizontal="center"/>
    </xf>
    <xf numFmtId="0" fontId="25" fillId="0" borderId="1" xfId="47" applyFont="1" applyFill="1" applyBorder="1" applyAlignment="1">
      <alignment horizontal="left" vertical="top" wrapText="1"/>
    </xf>
    <xf numFmtId="0" fontId="25" fillId="0" borderId="1" xfId="47" applyFont="1" applyFill="1" applyBorder="1"/>
    <xf numFmtId="2" fontId="5" fillId="0" borderId="0" xfId="47" applyNumberFormat="1" applyFont="1" applyFill="1"/>
    <xf numFmtId="0" fontId="40" fillId="0" borderId="0" xfId="0" applyFont="1" applyFill="1"/>
    <xf numFmtId="0" fontId="25" fillId="0" borderId="3" xfId="46" applyFont="1" applyFill="1" applyBorder="1" applyAlignment="1">
      <alignment horizontal="left" wrapText="1"/>
    </xf>
    <xf numFmtId="0" fontId="25" fillId="0" borderId="0" xfId="46" applyFont="1" applyFill="1" applyBorder="1" applyAlignment="1">
      <alignment wrapText="1"/>
    </xf>
    <xf numFmtId="0" fontId="25" fillId="0" borderId="0" xfId="46" applyFont="1" applyFill="1" applyAlignment="1">
      <alignment horizontal="center" wrapText="1"/>
    </xf>
    <xf numFmtId="0" fontId="25" fillId="0" borderId="0" xfId="46" applyFont="1" applyFill="1" applyAlignment="1">
      <alignment horizontal="center" vertical="top" wrapText="1"/>
    </xf>
    <xf numFmtId="0" fontId="25" fillId="0" borderId="0" xfId="47" applyFont="1" applyFill="1" applyAlignment="1">
      <alignment vertical="center" wrapText="1"/>
    </xf>
    <xf numFmtId="0" fontId="25" fillId="0" borderId="3" xfId="46" applyFont="1" applyFill="1" applyBorder="1" applyAlignment="1">
      <alignment horizontal="left" vertical="top" wrapText="1"/>
    </xf>
    <xf numFmtId="0" fontId="25" fillId="0" borderId="0" xfId="46" applyFont="1" applyFill="1" applyBorder="1" applyAlignment="1">
      <alignment horizontal="center" wrapText="1"/>
    </xf>
    <xf numFmtId="0" fontId="69" fillId="0" borderId="0" xfId="0" applyFont="1" applyFill="1"/>
    <xf numFmtId="2" fontId="25" fillId="0" borderId="1" xfId="47" applyNumberFormat="1" applyFont="1" applyFill="1" applyBorder="1" applyAlignment="1">
      <alignment horizontal="center" vertical="center" wrapText="1"/>
    </xf>
    <xf numFmtId="0" fontId="5" fillId="0" borderId="0" xfId="47" applyFont="1" applyFill="1" applyAlignment="1">
      <alignment horizontal="center" vertical="center"/>
    </xf>
    <xf numFmtId="1" fontId="25" fillId="0" borderId="1" xfId="47" applyNumberFormat="1" applyFont="1" applyFill="1" applyBorder="1" applyAlignment="1">
      <alignment horizontal="center" vertical="center" wrapText="1"/>
    </xf>
    <xf numFmtId="0" fontId="25" fillId="0" borderId="1" xfId="47" applyFont="1" applyFill="1" applyBorder="1" applyAlignment="1">
      <alignment horizontal="center" vertical="top"/>
    </xf>
    <xf numFmtId="0" fontId="40" fillId="0" borderId="1" xfId="0" applyFont="1" applyFill="1" applyBorder="1" applyAlignment="1">
      <alignment horizontal="left" vertical="top" wrapText="1"/>
    </xf>
    <xf numFmtId="4" fontId="25" fillId="0" borderId="1" xfId="47" applyNumberFormat="1" applyFont="1" applyFill="1" applyBorder="1" applyAlignment="1">
      <alignment horizontal="center" vertical="top"/>
    </xf>
    <xf numFmtId="0" fontId="25" fillId="0" borderId="1" xfId="47" applyFont="1" applyFill="1" applyBorder="1" applyAlignment="1">
      <alignment horizontal="justify" vertical="top" wrapText="1"/>
    </xf>
    <xf numFmtId="4" fontId="28" fillId="0" borderId="1" xfId="47" applyNumberFormat="1" applyFont="1" applyFill="1" applyBorder="1" applyAlignment="1">
      <alignment horizontal="center" vertical="top"/>
    </xf>
    <xf numFmtId="0" fontId="17" fillId="0" borderId="4" xfId="46" applyFont="1" applyFill="1" applyBorder="1" applyAlignment="1">
      <alignment wrapText="1"/>
    </xf>
    <xf numFmtId="0" fontId="5" fillId="0" borderId="0" xfId="47" applyFont="1" applyFill="1" applyAlignment="1">
      <alignment horizontal="center"/>
    </xf>
    <xf numFmtId="0" fontId="70" fillId="0" borderId="0" xfId="47" applyFont="1"/>
    <xf numFmtId="4" fontId="44" fillId="0" borderId="1" xfId="47" applyNumberFormat="1" applyFont="1" applyBorder="1" applyAlignment="1">
      <alignment horizontal="center" vertical="top" wrapText="1"/>
    </xf>
    <xf numFmtId="4" fontId="25" fillId="7" borderId="6" xfId="47" applyNumberFormat="1" applyFont="1" applyFill="1" applyBorder="1" applyAlignment="1">
      <alignment horizontal="center" vertical="top" wrapText="1"/>
    </xf>
    <xf numFmtId="0" fontId="25" fillId="0" borderId="6" xfId="47" applyFont="1" applyBorder="1" applyAlignment="1">
      <alignment horizontal="center" vertical="top" wrapText="1"/>
    </xf>
    <xf numFmtId="2" fontId="25" fillId="0" borderId="6" xfId="47" applyNumberFormat="1" applyFont="1" applyBorder="1" applyAlignment="1">
      <alignment horizontal="center" vertical="top" wrapText="1"/>
    </xf>
    <xf numFmtId="0" fontId="72" fillId="0" borderId="0" xfId="0" applyFont="1" applyAlignment="1">
      <alignment horizontal="justify" vertical="center"/>
    </xf>
    <xf numFmtId="0" fontId="71" fillId="0" borderId="0" xfId="0" applyFont="1" applyAlignment="1">
      <alignment horizontal="left" vertical="center" indent="3"/>
    </xf>
    <xf numFmtId="0" fontId="31" fillId="0" borderId="0" xfId="34" applyAlignment="1" applyProtection="1">
      <alignment horizontal="left" vertical="center" indent="3"/>
    </xf>
    <xf numFmtId="4" fontId="28" fillId="0" borderId="1" xfId="47" applyNumberFormat="1" applyFont="1" applyFill="1" applyBorder="1" applyAlignment="1">
      <alignment horizontal="center" vertical="top" wrapText="1"/>
    </xf>
    <xf numFmtId="0" fontId="73" fillId="0" borderId="0" xfId="58" applyFont="1" applyFill="1" applyBorder="1" applyAlignment="1">
      <alignment horizontal="center" vertical="top" wrapText="1"/>
    </xf>
    <xf numFmtId="0" fontId="74" fillId="0" borderId="0" xfId="58" applyFont="1" applyFill="1" applyAlignment="1">
      <alignment vertical="top" wrapText="1"/>
    </xf>
    <xf numFmtId="0" fontId="74" fillId="0" borderId="0" xfId="58" applyFont="1" applyFill="1" applyAlignment="1">
      <alignment wrapText="1"/>
    </xf>
    <xf numFmtId="0" fontId="75" fillId="0" borderId="0" xfId="58" applyFont="1" applyFill="1" applyAlignment="1">
      <alignment horizontal="left" wrapText="1"/>
    </xf>
    <xf numFmtId="0" fontId="76" fillId="0" borderId="0" xfId="58" applyFont="1" applyFill="1" applyBorder="1" applyAlignment="1">
      <alignment horizontal="right" wrapText="1"/>
    </xf>
    <xf numFmtId="0" fontId="76" fillId="0" borderId="0" xfId="58" applyFont="1" applyFill="1" applyBorder="1" applyAlignment="1">
      <alignment horizontal="left" wrapText="1"/>
    </xf>
    <xf numFmtId="3" fontId="76" fillId="0" borderId="0" xfId="58" applyNumberFormat="1" applyFont="1" applyFill="1" applyBorder="1" applyAlignment="1">
      <alignment horizontal="right" wrapText="1"/>
    </xf>
    <xf numFmtId="4" fontId="76" fillId="0" borderId="0" xfId="58" applyNumberFormat="1" applyFont="1" applyFill="1" applyBorder="1" applyAlignment="1">
      <alignment horizontal="center" wrapText="1"/>
    </xf>
    <xf numFmtId="4" fontId="25" fillId="0" borderId="0" xfId="58" applyNumberFormat="1" applyFont="1" applyFill="1" applyAlignment="1">
      <alignment wrapText="1"/>
    </xf>
    <xf numFmtId="0" fontId="77" fillId="0" borderId="0" xfId="58" applyFont="1" applyFill="1" applyAlignment="1">
      <alignment wrapText="1"/>
    </xf>
    <xf numFmtId="0" fontId="75" fillId="0" borderId="0" xfId="58" applyFont="1" applyFill="1" applyAlignment="1">
      <alignment horizontal="right" wrapText="1"/>
    </xf>
    <xf numFmtId="166" fontId="25" fillId="0" borderId="0" xfId="93" applyNumberFormat="1" applyFont="1" applyFill="1" applyBorder="1" applyAlignment="1">
      <alignment horizontal="right" wrapText="1"/>
    </xf>
    <xf numFmtId="4" fontId="75" fillId="0" borderId="0" xfId="58" applyNumberFormat="1" applyFont="1" applyFill="1" applyAlignment="1">
      <alignment horizontal="center" wrapText="1"/>
    </xf>
    <xf numFmtId="0" fontId="74" fillId="0" borderId="0" xfId="58" applyFont="1" applyFill="1" applyAlignment="1">
      <alignment horizontal="center" wrapText="1"/>
    </xf>
    <xf numFmtId="4" fontId="75" fillId="0" borderId="0" xfId="58" applyNumberFormat="1" applyFont="1" applyFill="1" applyAlignment="1">
      <alignment horizontal="left" wrapText="1"/>
    </xf>
    <xf numFmtId="0" fontId="25" fillId="0" borderId="0" xfId="58" applyFont="1" applyFill="1" applyAlignment="1">
      <alignment horizontal="center" wrapText="1"/>
    </xf>
    <xf numFmtId="0" fontId="25" fillId="0" borderId="0" xfId="58" applyFont="1" applyFill="1" applyAlignment="1">
      <alignment horizontal="left" wrapText="1"/>
    </xf>
    <xf numFmtId="0" fontId="4" fillId="0" borderId="0" xfId="58" applyFont="1" applyFill="1"/>
    <xf numFmtId="0" fontId="25" fillId="0" borderId="0" xfId="58" applyFont="1" applyFill="1"/>
    <xf numFmtId="4" fontId="25" fillId="0" borderId="0" xfId="58" applyNumberFormat="1" applyFont="1" applyFill="1" applyBorder="1" applyAlignment="1">
      <alignment horizontal="left" wrapText="1"/>
    </xf>
    <xf numFmtId="166" fontId="25" fillId="0" borderId="0" xfId="58" applyNumberFormat="1" applyFont="1" applyFill="1"/>
    <xf numFmtId="4" fontId="25" fillId="0" borderId="0" xfId="58" applyNumberFormat="1" applyFont="1" applyFill="1" applyBorder="1" applyAlignment="1">
      <alignment wrapText="1"/>
    </xf>
    <xf numFmtId="166" fontId="40" fillId="0" borderId="0" xfId="93" applyNumberFormat="1" applyFont="1" applyFill="1" applyAlignment="1">
      <alignment horizontal="right" wrapText="1"/>
    </xf>
    <xf numFmtId="0" fontId="48" fillId="0" borderId="0" xfId="58" applyFont="1" applyFill="1"/>
    <xf numFmtId="0" fontId="40" fillId="0" borderId="0" xfId="58" applyFont="1" applyFill="1" applyAlignment="1">
      <alignment horizontal="left" wrapText="1"/>
    </xf>
    <xf numFmtId="0" fontId="25" fillId="0" borderId="0" xfId="58" applyFont="1" applyFill="1" applyBorder="1" applyAlignment="1">
      <alignment horizontal="left" wrapText="1"/>
    </xf>
    <xf numFmtId="4" fontId="28" fillId="0" borderId="0" xfId="58" applyNumberFormat="1" applyFont="1" applyFill="1" applyBorder="1" applyAlignment="1">
      <alignment horizontal="center" wrapText="1"/>
    </xf>
    <xf numFmtId="0" fontId="78" fillId="0" borderId="0" xfId="58" applyFont="1" applyFill="1" applyAlignment="1">
      <alignment wrapText="1"/>
    </xf>
    <xf numFmtId="0" fontId="25" fillId="0" borderId="0" xfId="58" applyFont="1" applyFill="1" applyAlignment="1">
      <alignment wrapText="1"/>
    </xf>
    <xf numFmtId="0" fontId="28" fillId="0" borderId="0" xfId="58" applyFont="1" applyFill="1" applyAlignment="1">
      <alignment wrapText="1"/>
    </xf>
    <xf numFmtId="166" fontId="28" fillId="0" borderId="0" xfId="93" applyNumberFormat="1" applyFont="1" applyFill="1" applyBorder="1" applyAlignment="1">
      <alignment horizontal="right" wrapText="1"/>
    </xf>
    <xf numFmtId="169" fontId="79" fillId="0" borderId="0" xfId="93" applyFont="1" applyFill="1"/>
    <xf numFmtId="0" fontId="25" fillId="0" borderId="0" xfId="58" applyFont="1" applyFill="1" applyAlignment="1">
      <alignment horizontal="left"/>
    </xf>
    <xf numFmtId="4" fontId="44" fillId="0" borderId="0" xfId="58" applyNumberFormat="1" applyFont="1" applyFill="1" applyAlignment="1">
      <alignment horizontal="left"/>
    </xf>
    <xf numFmtId="169" fontId="25" fillId="0" borderId="0" xfId="93" applyFont="1" applyFill="1"/>
    <xf numFmtId="0" fontId="25" fillId="0" borderId="0" xfId="58" applyFont="1" applyFill="1" applyAlignment="1">
      <alignment vertical="top" wrapText="1"/>
    </xf>
    <xf numFmtId="0" fontId="80" fillId="0" borderId="0" xfId="58" applyFont="1" applyFill="1" applyAlignment="1">
      <alignment horizontal="left" wrapText="1"/>
    </xf>
    <xf numFmtId="0" fontId="28" fillId="0" borderId="0" xfId="58" applyFont="1" applyFill="1" applyBorder="1" applyAlignment="1">
      <alignment horizontal="left"/>
    </xf>
    <xf numFmtId="4" fontId="47" fillId="0" borderId="0" xfId="58" applyNumberFormat="1" applyFont="1" applyFill="1" applyBorder="1" applyAlignment="1">
      <alignment horizontal="center" wrapText="1"/>
    </xf>
    <xf numFmtId="169" fontId="74" fillId="0" borderId="0" xfId="93" applyFont="1" applyFill="1" applyAlignment="1">
      <alignment horizontal="center" wrapText="1"/>
    </xf>
    <xf numFmtId="169" fontId="5" fillId="0" borderId="0" xfId="93" applyFont="1" applyFill="1"/>
    <xf numFmtId="165" fontId="81" fillId="0" borderId="0" xfId="58" applyNumberFormat="1" applyFont="1" applyFill="1" applyAlignment="1">
      <alignment horizontal="left" wrapText="1"/>
    </xf>
    <xf numFmtId="0" fontId="25" fillId="0" borderId="0" xfId="58" applyFont="1" applyFill="1" applyAlignment="1">
      <alignment horizontal="right" wrapText="1"/>
    </xf>
    <xf numFmtId="4" fontId="25" fillId="0" borderId="0" xfId="58" applyNumberFormat="1" applyFont="1" applyFill="1" applyAlignment="1">
      <alignment horizontal="center" wrapText="1"/>
    </xf>
    <xf numFmtId="169" fontId="77" fillId="0" borderId="0" xfId="93" applyFont="1" applyFill="1" applyAlignment="1">
      <alignment wrapText="1"/>
    </xf>
    <xf numFmtId="169" fontId="18" fillId="0" borderId="0" xfId="93" applyFont="1" applyFill="1" applyAlignment="1">
      <alignment horizontal="center" wrapText="1"/>
    </xf>
    <xf numFmtId="169" fontId="18" fillId="0" borderId="0" xfId="58" applyNumberFormat="1" applyFont="1" applyFill="1" applyAlignment="1">
      <alignment horizontal="center" wrapText="1"/>
    </xf>
    <xf numFmtId="166" fontId="28" fillId="0" borderId="0" xfId="58" applyNumberFormat="1" applyFont="1" applyFill="1" applyAlignment="1">
      <alignment horizontal="right" wrapText="1"/>
    </xf>
    <xf numFmtId="166" fontId="25" fillId="0" borderId="0" xfId="58" applyNumberFormat="1" applyFont="1" applyFill="1" applyAlignment="1">
      <alignment horizontal="right" wrapText="1"/>
    </xf>
    <xf numFmtId="165" fontId="4" fillId="0" borderId="0" xfId="58" applyNumberFormat="1" applyFont="1" applyFill="1"/>
    <xf numFmtId="165" fontId="78" fillId="0" borderId="0" xfId="58" applyNumberFormat="1" applyFont="1" applyFill="1" applyAlignment="1">
      <alignment wrapText="1"/>
    </xf>
    <xf numFmtId="4" fontId="82" fillId="0" borderId="0" xfId="58" applyNumberFormat="1" applyFont="1" applyFill="1" applyAlignment="1"/>
    <xf numFmtId="4" fontId="25" fillId="0" borderId="0" xfId="58" applyNumberFormat="1" applyFont="1" applyFill="1"/>
    <xf numFmtId="0" fontId="27" fillId="0" borderId="0" xfId="58" applyFont="1" applyFill="1" applyBorder="1" applyAlignment="1">
      <alignment horizontal="right" wrapText="1"/>
    </xf>
    <xf numFmtId="4" fontId="27" fillId="0" borderId="0" xfId="58" applyNumberFormat="1" applyFont="1" applyFill="1" applyBorder="1" applyAlignment="1">
      <alignment horizontal="right" wrapText="1"/>
    </xf>
    <xf numFmtId="4" fontId="83" fillId="0" borderId="0" xfId="58" applyNumberFormat="1" applyFont="1" applyFill="1" applyBorder="1" applyAlignment="1">
      <alignment horizontal="center" wrapText="1"/>
    </xf>
    <xf numFmtId="4" fontId="84" fillId="0" borderId="0" xfId="58" applyNumberFormat="1" applyFont="1" applyFill="1" applyBorder="1" applyAlignment="1">
      <alignment horizontal="center" wrapText="1"/>
    </xf>
    <xf numFmtId="0" fontId="18" fillId="0" borderId="0" xfId="58" applyFont="1" applyFill="1" applyAlignment="1">
      <alignment wrapText="1"/>
    </xf>
    <xf numFmtId="0" fontId="24" fillId="0" borderId="0" xfId="58" applyFont="1" applyFill="1" applyAlignment="1">
      <alignment horizontal="center" wrapText="1"/>
    </xf>
    <xf numFmtId="0" fontId="17" fillId="0" borderId="0" xfId="58" applyFont="1" applyFill="1" applyBorder="1" applyAlignment="1">
      <alignment horizontal="center" vertical="top" wrapText="1"/>
    </xf>
    <xf numFmtId="4" fontId="85" fillId="0" borderId="0" xfId="58" applyNumberFormat="1" applyFont="1" applyFill="1" applyAlignment="1">
      <alignment horizontal="center" wrapText="1"/>
    </xf>
    <xf numFmtId="0" fontId="2" fillId="0" borderId="0" xfId="0" applyFont="1" applyFill="1"/>
    <xf numFmtId="0" fontId="22" fillId="0" borderId="0" xfId="0" applyFont="1" applyFill="1" applyAlignment="1">
      <alignment horizontal="right"/>
    </xf>
    <xf numFmtId="0" fontId="23" fillId="0" borderId="0" xfId="0" applyFont="1" applyFill="1"/>
    <xf numFmtId="0" fontId="22" fillId="0" borderId="3" xfId="0" applyFont="1" applyFill="1" applyBorder="1"/>
    <xf numFmtId="0" fontId="22" fillId="0" borderId="0" xfId="0" applyFont="1" applyFill="1" applyBorder="1" applyAlignment="1"/>
    <xf numFmtId="0" fontId="2" fillId="0" borderId="0" xfId="0" applyFont="1" applyFill="1" applyBorder="1"/>
    <xf numFmtId="0" fontId="25" fillId="0" borderId="3" xfId="47" applyFont="1" applyFill="1" applyBorder="1" applyAlignment="1">
      <alignment vertical="center" wrapText="1"/>
    </xf>
    <xf numFmtId="0" fontId="22" fillId="0" borderId="0" xfId="0" applyFont="1" applyFill="1" applyAlignment="1">
      <alignment horizontal="left"/>
    </xf>
    <xf numFmtId="0" fontId="22" fillId="0" borderId="3" xfId="0" applyFont="1" applyFill="1" applyBorder="1" applyAlignment="1">
      <alignment horizontal="center"/>
    </xf>
    <xf numFmtId="4" fontId="65" fillId="0" borderId="0" xfId="47" applyNumberFormat="1" applyFont="1" applyFill="1" applyBorder="1" applyAlignment="1">
      <alignment horizontal="center"/>
    </xf>
    <xf numFmtId="49" fontId="25" fillId="0" borderId="0" xfId="47" applyNumberFormat="1" applyFont="1" applyFill="1" applyBorder="1" applyAlignment="1">
      <alignment horizontal="left" wrapText="1"/>
    </xf>
    <xf numFmtId="0" fontId="25" fillId="0" borderId="0" xfId="47" applyFont="1" applyFill="1" applyAlignment="1">
      <alignment horizontal="center" vertical="center"/>
    </xf>
    <xf numFmtId="0" fontId="22" fillId="0" borderId="1" xfId="0" applyFont="1" applyFill="1" applyBorder="1" applyAlignment="1">
      <alignment horizontal="left" wrapText="1"/>
    </xf>
    <xf numFmtId="2" fontId="25" fillId="0" borderId="1" xfId="47" applyNumberFormat="1" applyFont="1" applyFill="1" applyBorder="1" applyAlignment="1">
      <alignment horizontal="center"/>
    </xf>
    <xf numFmtId="4" fontId="28" fillId="0" borderId="1" xfId="47" applyNumberFormat="1" applyFont="1" applyFill="1" applyBorder="1" applyAlignment="1">
      <alignment horizontal="center"/>
    </xf>
    <xf numFmtId="4" fontId="25" fillId="0" borderId="0" xfId="47" applyNumberFormat="1" applyFont="1" applyFill="1"/>
    <xf numFmtId="0" fontId="25" fillId="0" borderId="4" xfId="46" applyFont="1" applyFill="1" applyBorder="1" applyAlignment="1">
      <alignment horizontal="center" wrapText="1"/>
    </xf>
    <xf numFmtId="0" fontId="25" fillId="0" borderId="0" xfId="46" applyFont="1" applyFill="1" applyBorder="1" applyAlignment="1">
      <alignment horizontal="center"/>
    </xf>
    <xf numFmtId="10" fontId="8" fillId="0" borderId="0" xfId="47" applyNumberFormat="1"/>
    <xf numFmtId="9" fontId="8" fillId="0" borderId="0" xfId="47" applyNumberFormat="1"/>
    <xf numFmtId="2" fontId="8" fillId="0" borderId="0" xfId="47" applyNumberFormat="1"/>
    <xf numFmtId="0" fontId="5" fillId="0" borderId="0" xfId="0" applyFont="1" applyFill="1" applyAlignment="1">
      <alignment vertical="top" wrapText="1"/>
    </xf>
    <xf numFmtId="4" fontId="5" fillId="0" borderId="0" xfId="47" applyNumberFormat="1" applyFont="1" applyFill="1" applyAlignment="1"/>
    <xf numFmtId="2" fontId="5" fillId="0" borderId="0" xfId="47" applyNumberFormat="1" applyFont="1" applyFill="1" applyAlignment="1"/>
    <xf numFmtId="171" fontId="48" fillId="0" borderId="1" xfId="47" applyNumberFormat="1" applyFont="1" applyFill="1" applyBorder="1" applyAlignment="1">
      <alignment horizontal="left" vertical="top" wrapText="1"/>
    </xf>
    <xf numFmtId="4" fontId="28" fillId="0" borderId="1" xfId="47" applyNumberFormat="1" applyFont="1" applyFill="1" applyBorder="1" applyAlignment="1">
      <alignment horizontal="right"/>
    </xf>
    <xf numFmtId="4" fontId="5" fillId="0" borderId="0" xfId="47" applyNumberFormat="1" applyFont="1" applyFill="1"/>
    <xf numFmtId="4" fontId="25" fillId="0" borderId="1" xfId="0" applyNumberFormat="1" applyFont="1" applyFill="1" applyBorder="1" applyAlignment="1">
      <alignment horizontal="center"/>
    </xf>
    <xf numFmtId="0" fontId="28" fillId="0" borderId="0" xfId="0" applyFont="1" applyFill="1" applyBorder="1" applyAlignment="1">
      <alignment horizontal="center"/>
    </xf>
    <xf numFmtId="169" fontId="25" fillId="0" borderId="0" xfId="92" applyFont="1" applyFill="1"/>
    <xf numFmtId="169" fontId="5" fillId="0" borderId="0" xfId="92" applyFont="1" applyFill="1" applyAlignment="1"/>
    <xf numFmtId="169" fontId="51" fillId="0" borderId="0" xfId="92" applyFont="1" applyFill="1"/>
    <xf numFmtId="169" fontId="25" fillId="0" borderId="0" xfId="92" applyFont="1" applyFill="1" applyAlignment="1"/>
    <xf numFmtId="169" fontId="5" fillId="0" borderId="0" xfId="92" applyFont="1" applyFill="1" applyAlignment="1">
      <alignment horizontal="center" vertical="center"/>
    </xf>
    <xf numFmtId="169" fontId="5" fillId="0" borderId="0" xfId="92" applyFont="1" applyFill="1" applyBorder="1" applyAlignment="1">
      <alignment horizontal="center" vertical="center"/>
    </xf>
    <xf numFmtId="169" fontId="5" fillId="0" borderId="0" xfId="92" applyFont="1" applyFill="1" applyBorder="1"/>
    <xf numFmtId="169" fontId="5" fillId="7" borderId="0" xfId="92" applyFont="1" applyFill="1" applyBorder="1" applyAlignment="1">
      <alignment horizontal="center" wrapText="1"/>
    </xf>
    <xf numFmtId="169" fontId="5" fillId="0" borderId="0" xfId="92" applyFont="1" applyFill="1" applyBorder="1" applyAlignment="1">
      <alignment horizontal="center" wrapText="1"/>
    </xf>
    <xf numFmtId="169" fontId="5" fillId="0" borderId="0" xfId="92" applyFont="1" applyFill="1"/>
    <xf numFmtId="185" fontId="5" fillId="0" borderId="0" xfId="92" applyNumberFormat="1" applyFont="1" applyFill="1"/>
    <xf numFmtId="169" fontId="5" fillId="7" borderId="0" xfId="92" applyFont="1" applyFill="1"/>
    <xf numFmtId="169" fontId="79" fillId="0" borderId="0" xfId="92" applyFont="1" applyFill="1"/>
    <xf numFmtId="169" fontId="25" fillId="7" borderId="0" xfId="92" applyFont="1" applyFill="1"/>
    <xf numFmtId="169" fontId="25" fillId="7" borderId="0" xfId="92" applyFont="1" applyFill="1" applyAlignment="1"/>
    <xf numFmtId="169" fontId="25" fillId="8" borderId="0" xfId="92" applyFont="1" applyFill="1"/>
    <xf numFmtId="169" fontId="5" fillId="8" borderId="0" xfId="92" applyFont="1" applyFill="1"/>
    <xf numFmtId="169" fontId="25" fillId="0" borderId="0" xfId="92" applyFont="1" applyFill="1" applyAlignment="1">
      <alignment horizontal="center" wrapText="1"/>
    </xf>
    <xf numFmtId="0" fontId="32" fillId="0" borderId="0" xfId="58" applyFont="1" applyFill="1" applyAlignment="1">
      <alignment wrapText="1"/>
    </xf>
    <xf numFmtId="0" fontId="86" fillId="0" borderId="0" xfId="58" applyFont="1" applyFill="1" applyAlignment="1">
      <alignment horizontal="left"/>
    </xf>
    <xf numFmtId="0" fontId="86" fillId="0" borderId="0" xfId="58" applyFont="1" applyFill="1" applyAlignment="1">
      <alignment horizontal="center"/>
    </xf>
    <xf numFmtId="0" fontId="5" fillId="0" borderId="0" xfId="58" applyFont="1" applyFill="1" applyAlignment="1">
      <alignment horizontal="left"/>
    </xf>
    <xf numFmtId="0" fontId="5" fillId="0" borderId="0" xfId="58" applyFont="1" applyFill="1" applyAlignment="1"/>
    <xf numFmtId="0" fontId="86" fillId="0" borderId="0" xfId="58" applyFont="1" applyFill="1" applyAlignment="1"/>
    <xf numFmtId="0" fontId="5" fillId="0" borderId="0" xfId="58" applyFont="1" applyFill="1" applyAlignment="1">
      <alignment vertical="top" wrapText="1"/>
    </xf>
    <xf numFmtId="0" fontId="5" fillId="0" borderId="0" xfId="58" applyFont="1" applyFill="1" applyAlignment="1">
      <alignment horizontal="center"/>
    </xf>
    <xf numFmtId="0" fontId="5" fillId="0" borderId="3" xfId="58" applyFont="1" applyFill="1" applyBorder="1" applyAlignment="1">
      <alignment horizontal="left"/>
    </xf>
    <xf numFmtId="0" fontId="51" fillId="0" borderId="0" xfId="58" applyFont="1" applyFill="1"/>
    <xf numFmtId="0" fontId="5" fillId="0" borderId="0" xfId="58" applyFont="1" applyFill="1" applyBorder="1" applyAlignment="1">
      <alignment horizontal="center"/>
    </xf>
    <xf numFmtId="2" fontId="86" fillId="0" borderId="0" xfId="58" applyNumberFormat="1" applyFont="1" applyFill="1" applyBorder="1" applyAlignment="1">
      <alignment wrapText="1"/>
    </xf>
    <xf numFmtId="0" fontId="4" fillId="0" borderId="0" xfId="58" applyFont="1" applyFill="1" applyAlignment="1">
      <alignment horizontal="center"/>
    </xf>
    <xf numFmtId="0" fontId="25" fillId="0" borderId="0" xfId="58" applyFont="1" applyFill="1" applyBorder="1" applyAlignment="1">
      <alignment horizontal="center"/>
    </xf>
    <xf numFmtId="0" fontId="4" fillId="0" borderId="1" xfId="58" applyFont="1" applyFill="1" applyBorder="1" applyAlignment="1">
      <alignment horizontal="center"/>
    </xf>
    <xf numFmtId="0" fontId="4" fillId="0" borderId="6" xfId="58" applyFont="1" applyFill="1" applyBorder="1" applyAlignment="1">
      <alignment horizontal="center"/>
    </xf>
    <xf numFmtId="0" fontId="25" fillId="0" borderId="0" xfId="58" applyFont="1" applyFill="1" applyAlignment="1"/>
    <xf numFmtId="0" fontId="4" fillId="0" borderId="0" xfId="58" applyFont="1" applyFill="1" applyAlignment="1"/>
    <xf numFmtId="49" fontId="4" fillId="0" borderId="1" xfId="58" applyNumberFormat="1" applyFont="1" applyFill="1" applyBorder="1" applyAlignment="1">
      <alignment horizontal="center"/>
    </xf>
    <xf numFmtId="49" fontId="4" fillId="0" borderId="6" xfId="58" applyNumberFormat="1" applyFont="1" applyFill="1" applyBorder="1" applyAlignment="1">
      <alignment horizontal="center"/>
    </xf>
    <xf numFmtId="0" fontId="4" fillId="0" borderId="0" xfId="58" applyFont="1" applyFill="1" applyAlignment="1">
      <alignment horizontal="right" wrapText="1"/>
    </xf>
    <xf numFmtId="0" fontId="6" fillId="0" borderId="0" xfId="58" applyFont="1" applyFill="1" applyAlignment="1">
      <alignment wrapText="1"/>
    </xf>
    <xf numFmtId="0" fontId="25" fillId="0" borderId="0" xfId="58" applyFont="1" applyFill="1" applyAlignment="1">
      <alignment horizontal="center"/>
    </xf>
    <xf numFmtId="0" fontId="5" fillId="0" borderId="1" xfId="58" applyFont="1" applyFill="1" applyBorder="1" applyAlignment="1">
      <alignment horizontal="center" vertical="center" wrapText="1"/>
    </xf>
    <xf numFmtId="0" fontId="5" fillId="0" borderId="6" xfId="58" applyFont="1" applyFill="1" applyBorder="1" applyAlignment="1">
      <alignment horizontal="center" vertical="center" wrapText="1"/>
    </xf>
    <xf numFmtId="0" fontId="28" fillId="0" borderId="0" xfId="58" applyFont="1" applyFill="1" applyAlignment="1"/>
    <xf numFmtId="49" fontId="28" fillId="0" borderId="1" xfId="58" applyNumberFormat="1" applyFont="1" applyFill="1" applyBorder="1" applyAlignment="1">
      <alignment horizontal="center"/>
    </xf>
    <xf numFmtId="14" fontId="28" fillId="7" borderId="1" xfId="58" applyNumberFormat="1" applyFont="1" applyFill="1" applyBorder="1" applyAlignment="1">
      <alignment horizontal="center"/>
    </xf>
    <xf numFmtId="14" fontId="28" fillId="0" borderId="6" xfId="58" applyNumberFormat="1" applyFont="1" applyFill="1" applyBorder="1" applyAlignment="1">
      <alignment horizontal="center"/>
    </xf>
    <xf numFmtId="0" fontId="28" fillId="0" borderId="0" xfId="58" applyFont="1" applyFill="1" applyAlignment="1">
      <alignment horizontal="left"/>
    </xf>
    <xf numFmtId="0" fontId="5" fillId="0" borderId="0" xfId="58" applyFont="1" applyFill="1" applyAlignment="1">
      <alignment horizontal="center" vertical="center"/>
    </xf>
    <xf numFmtId="0" fontId="17" fillId="0" borderId="17" xfId="58" applyFont="1" applyFill="1" applyBorder="1" applyAlignment="1">
      <alignment vertical="center" wrapText="1"/>
    </xf>
    <xf numFmtId="0" fontId="17" fillId="0" borderId="1" xfId="58" applyFont="1" applyFill="1" applyBorder="1" applyAlignment="1">
      <alignment vertical="center" wrapText="1"/>
    </xf>
    <xf numFmtId="0" fontId="17" fillId="0" borderId="1" xfId="49" applyFont="1" applyFill="1" applyBorder="1" applyAlignment="1">
      <alignment horizontal="center" vertical="center" wrapText="1"/>
    </xf>
    <xf numFmtId="0" fontId="17" fillId="0" borderId="1" xfId="58" applyFont="1" applyFill="1" applyBorder="1" applyAlignment="1">
      <alignment horizontal="center" vertical="center" wrapText="1"/>
    </xf>
    <xf numFmtId="0" fontId="5" fillId="0" borderId="0" xfId="58" applyFont="1" applyFill="1" applyBorder="1" applyAlignment="1">
      <alignment horizontal="center" vertical="center"/>
    </xf>
    <xf numFmtId="49" fontId="89" fillId="0" borderId="1" xfId="58" applyNumberFormat="1" applyFont="1" applyFill="1" applyBorder="1" applyAlignment="1">
      <alignment horizontal="center" vertical="center" wrapText="1"/>
    </xf>
    <xf numFmtId="0" fontId="89" fillId="0" borderId="1" xfId="58" applyFont="1" applyFill="1" applyBorder="1" applyAlignment="1">
      <alignment horizontal="center" vertical="center" wrapText="1"/>
    </xf>
    <xf numFmtId="2" fontId="5" fillId="0" borderId="1" xfId="58" applyNumberFormat="1" applyFont="1" applyFill="1" applyBorder="1" applyAlignment="1">
      <alignment horizontal="center" vertical="center" wrapText="1"/>
    </xf>
    <xf numFmtId="0" fontId="5" fillId="0" borderId="1" xfId="58" applyFont="1" applyFill="1" applyBorder="1" applyAlignment="1">
      <alignment wrapText="1"/>
    </xf>
    <xf numFmtId="2" fontId="5" fillId="0" borderId="1" xfId="58" applyNumberFormat="1" applyFont="1" applyFill="1" applyBorder="1" applyAlignment="1">
      <alignment horizontal="center" wrapText="1"/>
    </xf>
    <xf numFmtId="4" fontId="5" fillId="7" borderId="1" xfId="58" applyNumberFormat="1" applyFont="1" applyFill="1" applyBorder="1" applyAlignment="1">
      <alignment horizontal="center" wrapText="1"/>
    </xf>
    <xf numFmtId="4" fontId="5" fillId="0" borderId="1" xfId="58" applyNumberFormat="1" applyFont="1" applyFill="1" applyBorder="1" applyAlignment="1">
      <alignment horizontal="center" wrapText="1"/>
    </xf>
    <xf numFmtId="165" fontId="5" fillId="0" borderId="0" xfId="58" applyNumberFormat="1" applyFont="1" applyFill="1"/>
    <xf numFmtId="4" fontId="5" fillId="0" borderId="0" xfId="58" applyNumberFormat="1" applyFont="1" applyFill="1" applyBorder="1"/>
    <xf numFmtId="4" fontId="5" fillId="0" borderId="0" xfId="58" applyNumberFormat="1" applyFont="1" applyFill="1"/>
    <xf numFmtId="0" fontId="5" fillId="0" borderId="0" xfId="58" applyFont="1" applyFill="1"/>
    <xf numFmtId="4" fontId="5" fillId="9" borderId="1" xfId="58" applyNumberFormat="1" applyFont="1" applyFill="1" applyBorder="1" applyAlignment="1">
      <alignment horizontal="center" wrapText="1"/>
    </xf>
    <xf numFmtId="0" fontId="5" fillId="0" borderId="15" xfId="58" applyFont="1" applyFill="1" applyBorder="1" applyAlignment="1">
      <alignment horizontal="center" vertical="center" wrapText="1"/>
    </xf>
    <xf numFmtId="4" fontId="5" fillId="10" borderId="1" xfId="58" applyNumberFormat="1" applyFont="1" applyFill="1" applyBorder="1" applyAlignment="1">
      <alignment horizontal="center" wrapText="1"/>
    </xf>
    <xf numFmtId="0" fontId="5" fillId="7" borderId="1" xfId="58" applyFont="1" applyFill="1" applyBorder="1" applyAlignment="1">
      <alignment horizontal="center" vertical="center" wrapText="1"/>
    </xf>
    <xf numFmtId="2" fontId="5" fillId="7" borderId="1" xfId="58" applyNumberFormat="1" applyFont="1" applyFill="1" applyBorder="1" applyAlignment="1">
      <alignment horizontal="center" vertical="center" wrapText="1"/>
    </xf>
    <xf numFmtId="0" fontId="5" fillId="7" borderId="1" xfId="58" applyFont="1" applyFill="1" applyBorder="1" applyAlignment="1">
      <alignment wrapText="1"/>
    </xf>
    <xf numFmtId="184" fontId="5" fillId="7" borderId="1" xfId="58" applyNumberFormat="1" applyFont="1" applyFill="1" applyBorder="1" applyAlignment="1">
      <alignment horizontal="center" wrapText="1"/>
    </xf>
    <xf numFmtId="4" fontId="5" fillId="5" borderId="1" xfId="58" applyNumberFormat="1" applyFont="1" applyFill="1" applyBorder="1" applyAlignment="1">
      <alignment horizontal="center" wrapText="1"/>
    </xf>
    <xf numFmtId="4" fontId="5" fillId="11" borderId="1" xfId="58" applyNumberFormat="1" applyFont="1" applyFill="1" applyBorder="1" applyAlignment="1">
      <alignment horizontal="center" wrapText="1"/>
    </xf>
    <xf numFmtId="0" fontId="5" fillId="7" borderId="0" xfId="58" applyFont="1" applyFill="1"/>
    <xf numFmtId="0" fontId="5" fillId="7" borderId="0" xfId="58" applyFont="1" applyFill="1" applyBorder="1"/>
    <xf numFmtId="2" fontId="5" fillId="7" borderId="1" xfId="58" applyNumberFormat="1" applyFont="1" applyFill="1" applyBorder="1" applyAlignment="1">
      <alignment horizontal="center" wrapText="1"/>
    </xf>
    <xf numFmtId="0" fontId="5" fillId="0" borderId="0" xfId="58" applyFont="1" applyFill="1" applyBorder="1"/>
    <xf numFmtId="0" fontId="5" fillId="0" borderId="0" xfId="58" applyFont="1" applyFill="1" applyBorder="1" applyAlignment="1">
      <alignment horizontal="center" vertical="center" wrapText="1"/>
    </xf>
    <xf numFmtId="0" fontId="6" fillId="0" borderId="0" xfId="58" applyFont="1" applyFill="1" applyBorder="1" applyAlignment="1">
      <alignment horizontal="right" wrapText="1"/>
    </xf>
    <xf numFmtId="2" fontId="6" fillId="0" borderId="1" xfId="58" applyNumberFormat="1" applyFont="1" applyFill="1" applyBorder="1" applyAlignment="1">
      <alignment horizontal="center" wrapText="1"/>
    </xf>
    <xf numFmtId="4" fontId="6" fillId="0" borderId="1" xfId="58" applyNumberFormat="1" applyFont="1" applyFill="1" applyBorder="1" applyAlignment="1">
      <alignment horizontal="center" wrapText="1"/>
    </xf>
    <xf numFmtId="4" fontId="6" fillId="0" borderId="0" xfId="58" applyNumberFormat="1" applyFont="1" applyFill="1" applyBorder="1"/>
    <xf numFmtId="2" fontId="25" fillId="0" borderId="0" xfId="58" applyNumberFormat="1" applyFont="1" applyFill="1" applyAlignment="1">
      <alignment horizontal="center" wrapText="1"/>
    </xf>
    <xf numFmtId="4" fontId="69" fillId="0" borderId="0" xfId="58" applyNumberFormat="1" applyFont="1" applyFill="1" applyAlignment="1">
      <alignment horizontal="right" wrapText="1"/>
    </xf>
    <xf numFmtId="0" fontId="5" fillId="0" borderId="0" xfId="58" applyFont="1" applyFill="1" applyAlignment="1">
      <alignment horizontal="right"/>
    </xf>
    <xf numFmtId="2" fontId="5" fillId="0" borderId="0" xfId="58" applyNumberFormat="1" applyFont="1" applyFill="1"/>
    <xf numFmtId="4" fontId="6" fillId="0" borderId="0" xfId="58" applyNumberFormat="1" applyFont="1" applyFill="1" applyBorder="1" applyAlignment="1">
      <alignment horizontal="center" wrapText="1"/>
    </xf>
    <xf numFmtId="4" fontId="5" fillId="0" borderId="0" xfId="58" applyNumberFormat="1" applyFont="1" applyFill="1" applyBorder="1" applyAlignment="1">
      <alignment horizontal="right" wrapText="1"/>
    </xf>
    <xf numFmtId="169" fontId="5" fillId="0" borderId="0" xfId="88" applyFont="1" applyFill="1"/>
    <xf numFmtId="169" fontId="5" fillId="0" borderId="0" xfId="58" applyNumberFormat="1" applyFont="1" applyFill="1"/>
    <xf numFmtId="0" fontId="25" fillId="7" borderId="0" xfId="58" applyFont="1" applyFill="1" applyAlignment="1">
      <alignment horizontal="center" wrapText="1"/>
    </xf>
    <xf numFmtId="0" fontId="25" fillId="7" borderId="0" xfId="58" applyFont="1" applyFill="1" applyAlignment="1">
      <alignment wrapText="1"/>
    </xf>
    <xf numFmtId="4" fontId="5" fillId="7" borderId="0" xfId="58" applyNumberFormat="1" applyFont="1" applyFill="1" applyBorder="1" applyAlignment="1">
      <alignment horizontal="right" wrapText="1"/>
    </xf>
    <xf numFmtId="0" fontId="5" fillId="7" borderId="0" xfId="58" applyFont="1" applyFill="1" applyAlignment="1">
      <alignment horizontal="center" wrapText="1"/>
    </xf>
    <xf numFmtId="4" fontId="69" fillId="7" borderId="0" xfId="58" applyNumberFormat="1" applyFont="1" applyFill="1" applyAlignment="1">
      <alignment horizontal="right" wrapText="1"/>
    </xf>
    <xf numFmtId="4" fontId="5" fillId="8" borderId="0" xfId="58" applyNumberFormat="1" applyFont="1" applyFill="1" applyBorder="1" applyAlignment="1">
      <alignment horizontal="right" wrapText="1"/>
    </xf>
    <xf numFmtId="0" fontId="5" fillId="8" borderId="0" xfId="58" applyFont="1" applyFill="1" applyAlignment="1">
      <alignment horizontal="center" wrapText="1"/>
    </xf>
    <xf numFmtId="4" fontId="5" fillId="0" borderId="0" xfId="58" applyNumberFormat="1" applyFont="1" applyFill="1" applyAlignment="1">
      <alignment horizontal="left"/>
    </xf>
    <xf numFmtId="4" fontId="90" fillId="0" borderId="0" xfId="58" applyNumberFormat="1" applyFont="1" applyFill="1" applyAlignment="1">
      <alignment horizontal="right" wrapText="1"/>
    </xf>
    <xf numFmtId="3" fontId="25" fillId="0" borderId="0" xfId="58" applyNumberFormat="1" applyFont="1" applyFill="1" applyAlignment="1">
      <alignment horizontal="left"/>
    </xf>
    <xf numFmtId="3" fontId="44" fillId="0" borderId="0" xfId="58" applyNumberFormat="1" applyFont="1" applyFill="1" applyAlignment="1">
      <alignment horizontal="left"/>
    </xf>
    <xf numFmtId="4" fontId="79" fillId="0" borderId="0" xfId="58" applyNumberFormat="1" applyFont="1" applyFill="1" applyAlignment="1"/>
    <xf numFmtId="4" fontId="6" fillId="0" borderId="0" xfId="58" applyNumberFormat="1" applyFont="1" applyFill="1" applyBorder="1" applyAlignment="1">
      <alignment horizontal="right" wrapText="1"/>
    </xf>
    <xf numFmtId="4" fontId="5" fillId="0" borderId="0" xfId="58" applyNumberFormat="1" applyFont="1" applyFill="1" applyAlignment="1">
      <alignment horizontal="right" wrapText="1"/>
    </xf>
    <xf numFmtId="0" fontId="91" fillId="0" borderId="0" xfId="58" applyFont="1" applyFill="1"/>
    <xf numFmtId="0" fontId="44" fillId="12" borderId="0" xfId="58" applyFont="1" applyFill="1"/>
    <xf numFmtId="2" fontId="25" fillId="0" borderId="0" xfId="58" applyNumberFormat="1" applyFont="1" applyFill="1"/>
    <xf numFmtId="4" fontId="90" fillId="5" borderId="0" xfId="58" applyNumberFormat="1" applyFont="1" applyFill="1" applyAlignment="1">
      <alignment horizontal="right" wrapText="1"/>
    </xf>
    <xf numFmtId="0" fontId="6" fillId="0" borderId="0" xfId="58" applyFont="1" applyFill="1" applyAlignment="1">
      <alignment horizontal="center" wrapText="1"/>
    </xf>
    <xf numFmtId="0" fontId="25" fillId="7" borderId="0" xfId="58" applyFont="1" applyFill="1"/>
    <xf numFmtId="0" fontId="25" fillId="7" borderId="0" xfId="58" applyFont="1" applyFill="1" applyAlignment="1"/>
    <xf numFmtId="165" fontId="25" fillId="7" borderId="0" xfId="58" applyNumberFormat="1" applyFont="1" applyFill="1" applyAlignment="1"/>
    <xf numFmtId="0" fontId="25" fillId="7" borderId="0" xfId="58" applyFont="1" applyFill="1" applyAlignment="1">
      <alignment horizontal="left"/>
    </xf>
    <xf numFmtId="0" fontId="25" fillId="8" borderId="0" xfId="58" applyFont="1" applyFill="1" applyAlignment="1">
      <alignment horizontal="center" wrapText="1"/>
    </xf>
    <xf numFmtId="0" fontId="25" fillId="8" borderId="0" xfId="58" applyFont="1" applyFill="1" applyAlignment="1">
      <alignment wrapText="1"/>
    </xf>
    <xf numFmtId="0" fontId="25" fillId="8" borderId="0" xfId="58" applyFont="1" applyFill="1"/>
    <xf numFmtId="2" fontId="25" fillId="8" borderId="0" xfId="58" applyNumberFormat="1" applyFont="1" applyFill="1"/>
    <xf numFmtId="4" fontId="69" fillId="8" borderId="0" xfId="58" applyNumberFormat="1" applyFont="1" applyFill="1" applyAlignment="1">
      <alignment horizontal="right" wrapText="1"/>
    </xf>
    <xf numFmtId="165" fontId="25" fillId="0" borderId="0" xfId="58" applyNumberFormat="1" applyFont="1" applyFill="1"/>
    <xf numFmtId="169" fontId="25" fillId="0" borderId="0" xfId="88" applyFont="1" applyFill="1"/>
    <xf numFmtId="4" fontId="90" fillId="7" borderId="0" xfId="58" applyNumberFormat="1" applyFont="1" applyFill="1" applyAlignment="1">
      <alignment horizontal="right" wrapText="1"/>
    </xf>
    <xf numFmtId="4" fontId="28" fillId="0" borderId="0" xfId="58" applyNumberFormat="1" applyFont="1" applyFill="1" applyAlignment="1">
      <alignment horizontal="right" wrapText="1"/>
    </xf>
    <xf numFmtId="0" fontId="5" fillId="0" borderId="0" xfId="58" applyFont="1" applyFill="1" applyBorder="1" applyAlignment="1">
      <alignment horizontal="center" wrapText="1"/>
    </xf>
    <xf numFmtId="0" fontId="6" fillId="0" borderId="0" xfId="58" applyFont="1" applyFill="1" applyAlignment="1"/>
    <xf numFmtId="0" fontId="6" fillId="0" borderId="0" xfId="58" applyFont="1" applyFill="1" applyAlignment="1">
      <alignment horizontal="left"/>
    </xf>
    <xf numFmtId="2" fontId="6" fillId="0" borderId="0" xfId="58" applyNumberFormat="1" applyFont="1" applyFill="1" applyAlignment="1">
      <alignment horizontal="center"/>
    </xf>
    <xf numFmtId="2" fontId="5" fillId="0" borderId="0" xfId="58" applyNumberFormat="1" applyFont="1" applyFill="1" applyAlignment="1"/>
    <xf numFmtId="0" fontId="6" fillId="0" borderId="0" xfId="58" applyFont="1" applyFill="1" applyAlignment="1">
      <alignment horizontal="right"/>
    </xf>
    <xf numFmtId="2" fontId="6" fillId="0" borderId="0" xfId="58" applyNumberFormat="1" applyFont="1" applyFill="1" applyBorder="1" applyAlignment="1">
      <alignment horizontal="center" wrapText="1"/>
    </xf>
    <xf numFmtId="4" fontId="5" fillId="0" borderId="0" xfId="58" applyNumberFormat="1" applyFont="1" applyFill="1" applyAlignment="1">
      <alignment horizontal="center" wrapText="1"/>
    </xf>
    <xf numFmtId="49" fontId="5" fillId="0" borderId="0" xfId="58" applyNumberFormat="1" applyFont="1" applyFill="1" applyAlignment="1">
      <alignment wrapText="1"/>
    </xf>
    <xf numFmtId="0" fontId="5" fillId="0" borderId="0" xfId="58" applyFont="1" applyFill="1" applyAlignment="1">
      <alignment wrapText="1"/>
    </xf>
    <xf numFmtId="4" fontId="5" fillId="0" borderId="0" xfId="58" applyNumberFormat="1" applyFont="1" applyFill="1" applyAlignment="1">
      <alignment wrapText="1"/>
    </xf>
    <xf numFmtId="0" fontId="6" fillId="0" borderId="0" xfId="58" applyFont="1" applyFill="1" applyAlignment="1">
      <alignment horizontal="center"/>
    </xf>
    <xf numFmtId="4" fontId="28" fillId="0" borderId="0" xfId="58" applyNumberFormat="1" applyFont="1" applyFill="1"/>
    <xf numFmtId="4" fontId="6" fillId="0" borderId="0" xfId="58" applyNumberFormat="1" applyFont="1" applyFill="1" applyAlignment="1">
      <alignment horizontal="right"/>
    </xf>
    <xf numFmtId="2" fontId="6" fillId="0" borderId="0" xfId="58" applyNumberFormat="1" applyFont="1" applyFill="1" applyAlignment="1"/>
    <xf numFmtId="4" fontId="28" fillId="0" borderId="0" xfId="58" applyNumberFormat="1" applyFont="1" applyFill="1" applyAlignment="1">
      <alignment horizontal="center" wrapText="1"/>
    </xf>
    <xf numFmtId="0" fontId="28" fillId="0" borderId="0" xfId="49" applyFont="1" applyFill="1"/>
    <xf numFmtId="0" fontId="97" fillId="0" borderId="0" xfId="49" applyFont="1"/>
    <xf numFmtId="0" fontId="25" fillId="0" borderId="0" xfId="49" applyFont="1" applyFill="1"/>
    <xf numFmtId="0" fontId="11" fillId="0" borderId="0" xfId="49"/>
    <xf numFmtId="0" fontId="97" fillId="0" borderId="0" xfId="49" applyFont="1" applyFill="1"/>
    <xf numFmtId="0" fontId="97" fillId="7" borderId="0" xfId="49" applyFont="1" applyFill="1"/>
    <xf numFmtId="0" fontId="97" fillId="13" borderId="0" xfId="49" applyFont="1" applyFill="1"/>
    <xf numFmtId="0" fontId="97" fillId="6" borderId="0" xfId="49" applyFont="1" applyFill="1"/>
    <xf numFmtId="0" fontId="96" fillId="6" borderId="0" xfId="49" applyFont="1" applyFill="1"/>
    <xf numFmtId="0" fontId="63" fillId="6" borderId="0" xfId="49" applyFont="1" applyFill="1"/>
    <xf numFmtId="0" fontId="96" fillId="0" borderId="0" xfId="49" applyFont="1"/>
    <xf numFmtId="0" fontId="63" fillId="0" borderId="0" xfId="49" applyFont="1"/>
    <xf numFmtId="0" fontId="11" fillId="0" borderId="0" xfId="49" applyFill="1"/>
    <xf numFmtId="0" fontId="98" fillId="0" borderId="0" xfId="49" applyFont="1" applyFill="1"/>
    <xf numFmtId="0" fontId="99" fillId="0" borderId="0" xfId="49" applyFont="1" applyFill="1"/>
    <xf numFmtId="2" fontId="11" fillId="0" borderId="0" xfId="49" applyNumberFormat="1" applyFill="1"/>
    <xf numFmtId="0" fontId="57" fillId="0" borderId="0" xfId="49" applyFont="1" applyFill="1"/>
    <xf numFmtId="0" fontId="11" fillId="0" borderId="0" xfId="49" applyFill="1" applyAlignment="1"/>
    <xf numFmtId="0" fontId="100" fillId="0" borderId="0" xfId="49" applyFont="1" applyFill="1"/>
    <xf numFmtId="0" fontId="11" fillId="6" borderId="0" xfId="49" applyFill="1"/>
    <xf numFmtId="186" fontId="11" fillId="0" borderId="0" xfId="49" applyNumberFormat="1" applyFill="1" applyAlignment="1"/>
    <xf numFmtId="0" fontId="11" fillId="7" borderId="0" xfId="49" applyFill="1" applyAlignment="1"/>
    <xf numFmtId="186" fontId="63" fillId="0" borderId="0" xfId="49" applyNumberFormat="1" applyFont="1" applyFill="1" applyAlignment="1"/>
    <xf numFmtId="0" fontId="63" fillId="0" borderId="0" xfId="49" applyFont="1" applyFill="1" applyAlignment="1"/>
    <xf numFmtId="0" fontId="15" fillId="0" borderId="0" xfId="49" applyFont="1" applyFill="1" applyAlignment="1"/>
    <xf numFmtId="2" fontId="101" fillId="0" borderId="0" xfId="49" applyNumberFormat="1" applyFont="1" applyFill="1" applyAlignment="1"/>
    <xf numFmtId="0" fontId="102" fillId="0" borderId="0" xfId="49" applyFont="1" applyFill="1" applyAlignment="1"/>
    <xf numFmtId="0" fontId="11" fillId="7" borderId="0" xfId="49" applyFill="1"/>
    <xf numFmtId="0" fontId="5" fillId="0" borderId="0" xfId="49" applyFont="1" applyFill="1" applyAlignment="1"/>
    <xf numFmtId="168" fontId="6" fillId="0" borderId="0" xfId="49" applyNumberFormat="1" applyFont="1" applyFill="1" applyAlignment="1"/>
    <xf numFmtId="0" fontId="6" fillId="0" borderId="0" xfId="49" applyFont="1" applyFill="1" applyAlignment="1"/>
    <xf numFmtId="0" fontId="5" fillId="0" borderId="0" xfId="49" applyFont="1" applyFill="1"/>
    <xf numFmtId="186" fontId="8" fillId="0" borderId="0" xfId="49" applyNumberFormat="1" applyFont="1" applyFill="1"/>
    <xf numFmtId="0" fontId="8" fillId="0" borderId="0" xfId="49" applyFont="1" applyFill="1"/>
    <xf numFmtId="186" fontId="57" fillId="0" borderId="0" xfId="49" applyNumberFormat="1" applyFont="1" applyFill="1"/>
    <xf numFmtId="168" fontId="102" fillId="0" borderId="0" xfId="49" applyNumberFormat="1" applyFont="1" applyFill="1" applyAlignment="1"/>
    <xf numFmtId="0" fontId="15" fillId="0" borderId="0" xfId="49" applyFont="1" applyFill="1"/>
    <xf numFmtId="186" fontId="63" fillId="0" borderId="0" xfId="49" applyNumberFormat="1" applyFont="1" applyFill="1"/>
    <xf numFmtId="2" fontId="57" fillId="0" borderId="0" xfId="49" applyNumberFormat="1" applyFont="1" applyFill="1"/>
    <xf numFmtId="0" fontId="63" fillId="0" borderId="0" xfId="49" applyFont="1" applyFill="1"/>
    <xf numFmtId="2" fontId="101" fillId="0" borderId="0" xfId="49" applyNumberFormat="1" applyFont="1" applyFill="1"/>
    <xf numFmtId="0" fontId="11" fillId="0" borderId="0" xfId="49" applyFont="1" applyFill="1"/>
    <xf numFmtId="0" fontId="11" fillId="0" borderId="0" xfId="49" applyFill="1" applyAlignment="1">
      <alignment wrapText="1"/>
    </xf>
    <xf numFmtId="2" fontId="11" fillId="0" borderId="0" xfId="49" applyNumberFormat="1" applyFill="1" applyAlignment="1"/>
    <xf numFmtId="2" fontId="11" fillId="0" borderId="0" xfId="49" applyNumberFormat="1" applyFill="1" applyAlignment="1">
      <alignment horizontal="left" vertical="center"/>
    </xf>
    <xf numFmtId="0" fontId="11" fillId="0" borderId="0" xfId="49" applyFill="1" applyAlignment="1">
      <alignment horizontal="left" vertical="center"/>
    </xf>
    <xf numFmtId="0" fontId="11" fillId="7" borderId="0" xfId="49" applyFill="1" applyAlignment="1">
      <alignment horizontal="left" vertical="center"/>
    </xf>
    <xf numFmtId="0" fontId="11" fillId="0" borderId="0" xfId="49" applyFill="1" applyAlignment="1">
      <alignment horizontal="left" vertical="center" wrapText="1"/>
    </xf>
    <xf numFmtId="2" fontId="11" fillId="0" borderId="0" xfId="49" applyNumberFormat="1" applyFill="1" applyAlignment="1">
      <alignment horizontal="left" vertical="center" wrapText="1"/>
    </xf>
    <xf numFmtId="2" fontId="57" fillId="0" borderId="0" xfId="49" applyNumberFormat="1" applyFont="1" applyFill="1" applyAlignment="1">
      <alignment horizontal="left" vertical="center" wrapText="1"/>
    </xf>
    <xf numFmtId="0" fontId="63" fillId="0" borderId="0" xfId="49" applyFont="1" applyFill="1" applyAlignment="1">
      <alignment horizontal="left" vertical="center" wrapText="1"/>
    </xf>
    <xf numFmtId="0" fontId="11" fillId="0" borderId="0" xfId="49" applyFill="1" applyAlignment="1">
      <alignment horizontal="center"/>
    </xf>
    <xf numFmtId="2" fontId="11" fillId="7" borderId="0" xfId="49" applyNumberFormat="1" applyFill="1" applyAlignment="1">
      <alignment horizontal="left"/>
    </xf>
    <xf numFmtId="2" fontId="11" fillId="0" borderId="0" xfId="49" applyNumberFormat="1" applyFill="1" applyAlignment="1">
      <alignment horizontal="left"/>
    </xf>
    <xf numFmtId="2" fontId="11" fillId="0" borderId="0" xfId="49" applyNumberFormat="1" applyFill="1" applyAlignment="1">
      <alignment wrapText="1"/>
    </xf>
    <xf numFmtId="0" fontId="11" fillId="0" borderId="0" xfId="49" applyFill="1" applyAlignment="1">
      <alignment horizontal="left"/>
    </xf>
    <xf numFmtId="1" fontId="11" fillId="0" borderId="0" xfId="49" applyNumberFormat="1" applyFill="1" applyAlignment="1">
      <alignment horizontal="left"/>
    </xf>
    <xf numFmtId="0" fontId="57" fillId="0" borderId="0" xfId="49" applyFont="1" applyFill="1" applyAlignment="1">
      <alignment horizontal="left" vertical="center" wrapText="1"/>
    </xf>
    <xf numFmtId="2" fontId="63" fillId="0" borderId="0" xfId="49" applyNumberFormat="1" applyFont="1" applyFill="1"/>
    <xf numFmtId="0" fontId="74" fillId="0" borderId="0" xfId="49" applyFont="1" applyFill="1" applyAlignment="1">
      <alignment wrapText="1"/>
    </xf>
    <xf numFmtId="0" fontId="74" fillId="0" borderId="0" xfId="49" applyFont="1" applyFill="1" applyAlignment="1">
      <alignment horizontal="center" wrapText="1"/>
    </xf>
    <xf numFmtId="4" fontId="85" fillId="0" borderId="0" xfId="49" applyNumberFormat="1" applyFont="1" applyFill="1" applyAlignment="1">
      <alignment horizontal="center" wrapText="1"/>
    </xf>
    <xf numFmtId="0" fontId="25" fillId="0" borderId="0" xfId="49" applyFont="1" applyFill="1" applyAlignment="1">
      <alignment horizontal="center" wrapText="1"/>
    </xf>
    <xf numFmtId="166" fontId="25" fillId="0" borderId="0" xfId="49" applyNumberFormat="1" applyFont="1" applyFill="1" applyAlignment="1">
      <alignment horizontal="center" wrapText="1"/>
    </xf>
    <xf numFmtId="0" fontId="25" fillId="0" borderId="0" xfId="49" applyFont="1" applyFill="1" applyAlignment="1">
      <alignment horizontal="left" wrapText="1"/>
    </xf>
    <xf numFmtId="0" fontId="24" fillId="0" borderId="0" xfId="49" applyFont="1" applyFill="1" applyBorder="1" applyAlignment="1">
      <alignment horizontal="center" wrapText="1"/>
    </xf>
    <xf numFmtId="166" fontId="24" fillId="0" borderId="0" xfId="49" applyNumberFormat="1" applyFont="1" applyFill="1" applyBorder="1" applyAlignment="1">
      <alignment wrapText="1"/>
    </xf>
    <xf numFmtId="0" fontId="25" fillId="0" borderId="0" xfId="49" applyFont="1" applyFill="1" applyAlignment="1">
      <alignment horizontal="center" vertical="top" wrapText="1"/>
    </xf>
    <xf numFmtId="0" fontId="25" fillId="0" borderId="4" xfId="49" applyFont="1" applyFill="1" applyBorder="1" applyAlignment="1">
      <alignment horizontal="center" vertical="top" wrapText="1"/>
    </xf>
    <xf numFmtId="0" fontId="24" fillId="0" borderId="0" xfId="49" applyFont="1" applyFill="1" applyAlignment="1">
      <alignment horizontal="center" wrapText="1"/>
    </xf>
    <xf numFmtId="0" fontId="25" fillId="0" borderId="3" xfId="49" applyFont="1" applyFill="1" applyBorder="1" applyAlignment="1">
      <alignment horizontal="center" wrapText="1"/>
    </xf>
    <xf numFmtId="0" fontId="25" fillId="0" borderId="3" xfId="49" applyFont="1" applyFill="1" applyBorder="1" applyAlignment="1">
      <alignment wrapText="1"/>
    </xf>
    <xf numFmtId="0" fontId="25" fillId="0" borderId="0" xfId="49" applyFont="1" applyFill="1" applyAlignment="1">
      <alignment wrapText="1"/>
    </xf>
    <xf numFmtId="0" fontId="17" fillId="0" borderId="0" xfId="49" applyFont="1" applyFill="1" applyBorder="1" applyAlignment="1">
      <alignment horizontal="center" vertical="top" wrapText="1"/>
    </xf>
    <xf numFmtId="0" fontId="17" fillId="0" borderId="0" xfId="49" applyFont="1" applyFill="1" applyBorder="1" applyAlignment="1">
      <alignment vertical="top" wrapText="1"/>
    </xf>
    <xf numFmtId="4" fontId="44" fillId="0" borderId="0" xfId="49" applyNumberFormat="1" applyFont="1" applyFill="1" applyAlignment="1">
      <alignment horizontal="left"/>
    </xf>
    <xf numFmtId="0" fontId="25" fillId="0" borderId="0" xfId="49" applyFont="1" applyFill="1" applyAlignment="1">
      <alignment horizontal="left"/>
    </xf>
    <xf numFmtId="169" fontId="79" fillId="0" borderId="0" xfId="88" applyFont="1" applyFill="1"/>
    <xf numFmtId="0" fontId="18" fillId="0" borderId="0" xfId="49" applyFont="1" applyFill="1" applyAlignment="1">
      <alignment wrapText="1"/>
    </xf>
    <xf numFmtId="4" fontId="82" fillId="0" borderId="0" xfId="49" applyNumberFormat="1" applyFont="1" applyFill="1" applyAlignment="1"/>
    <xf numFmtId="4" fontId="84" fillId="0" borderId="0" xfId="49" applyNumberFormat="1" applyFont="1" applyFill="1" applyBorder="1" applyAlignment="1">
      <alignment horizontal="center" wrapText="1"/>
    </xf>
    <xf numFmtId="4" fontId="83" fillId="0" borderId="0" xfId="49" applyNumberFormat="1" applyFont="1" applyFill="1" applyBorder="1" applyAlignment="1">
      <alignment horizontal="center" wrapText="1"/>
    </xf>
    <xf numFmtId="4" fontId="27" fillId="0" borderId="0" xfId="49" applyNumberFormat="1" applyFont="1" applyFill="1" applyBorder="1" applyAlignment="1">
      <alignment horizontal="right" wrapText="1"/>
    </xf>
    <xf numFmtId="0" fontId="27" fillId="0" borderId="0" xfId="49" applyFont="1" applyFill="1" applyBorder="1" applyAlignment="1">
      <alignment horizontal="right" wrapText="1"/>
    </xf>
    <xf numFmtId="0" fontId="78" fillId="0" borderId="0" xfId="49" applyFont="1" applyFill="1" applyAlignment="1">
      <alignment wrapText="1"/>
    </xf>
    <xf numFmtId="4" fontId="47" fillId="0" borderId="0" xfId="49" applyNumberFormat="1" applyFont="1" applyFill="1" applyBorder="1" applyAlignment="1">
      <alignment horizontal="center" wrapText="1"/>
    </xf>
    <xf numFmtId="166" fontId="28" fillId="0" borderId="0" xfId="88" applyNumberFormat="1" applyFont="1" applyFill="1" applyBorder="1" applyAlignment="1">
      <alignment horizontal="right" wrapText="1"/>
    </xf>
    <xf numFmtId="0" fontId="28" fillId="0" borderId="0" xfId="49" applyFont="1" applyFill="1" applyBorder="1" applyAlignment="1">
      <alignment horizontal="left"/>
    </xf>
    <xf numFmtId="0" fontId="80" fillId="0" borderId="0" xfId="49" applyFont="1" applyFill="1" applyAlignment="1">
      <alignment horizontal="left" wrapText="1"/>
    </xf>
    <xf numFmtId="4" fontId="28" fillId="0" borderId="0" xfId="49" applyNumberFormat="1" applyFont="1" applyFill="1" applyBorder="1" applyAlignment="1">
      <alignment horizontal="center" wrapText="1"/>
    </xf>
    <xf numFmtId="4" fontId="25" fillId="0" borderId="0" xfId="49" applyNumberFormat="1" applyFont="1" applyFill="1"/>
    <xf numFmtId="166" fontId="25" fillId="0" borderId="0" xfId="88" applyNumberFormat="1" applyFont="1" applyFill="1" applyBorder="1" applyAlignment="1">
      <alignment horizontal="right" wrapText="1"/>
    </xf>
    <xf numFmtId="0" fontId="25" fillId="0" borderId="0" xfId="49" applyFont="1" applyFill="1" applyAlignment="1">
      <alignment vertical="top" wrapText="1"/>
    </xf>
    <xf numFmtId="165" fontId="78" fillId="0" borderId="0" xfId="49" applyNumberFormat="1" applyFont="1" applyFill="1" applyAlignment="1">
      <alignment wrapText="1"/>
    </xf>
    <xf numFmtId="0" fontId="4" fillId="0" borderId="0" xfId="49" applyFont="1" applyFill="1"/>
    <xf numFmtId="166" fontId="25" fillId="0" borderId="0" xfId="49" applyNumberFormat="1" applyFont="1" applyFill="1" applyAlignment="1">
      <alignment horizontal="right" wrapText="1"/>
    </xf>
    <xf numFmtId="0" fontId="25" fillId="0" borderId="0" xfId="49" applyFont="1" applyFill="1" applyBorder="1" applyAlignment="1">
      <alignment horizontal="left" wrapText="1"/>
    </xf>
    <xf numFmtId="0" fontId="40" fillId="0" borderId="0" xfId="49" applyFont="1" applyFill="1" applyAlignment="1">
      <alignment horizontal="left" wrapText="1"/>
    </xf>
    <xf numFmtId="165" fontId="4" fillId="0" borderId="0" xfId="49" applyNumberFormat="1" applyFont="1" applyFill="1"/>
    <xf numFmtId="0" fontId="48" fillId="0" borderId="0" xfId="49" applyFont="1" applyFill="1"/>
    <xf numFmtId="166" fontId="40" fillId="0" borderId="0" xfId="88" applyNumberFormat="1" applyFont="1" applyFill="1" applyAlignment="1">
      <alignment horizontal="right" wrapText="1"/>
    </xf>
    <xf numFmtId="4" fontId="25" fillId="0" borderId="0" xfId="49" applyNumberFormat="1" applyFont="1" applyFill="1" applyBorder="1" applyAlignment="1">
      <alignment wrapText="1"/>
    </xf>
    <xf numFmtId="169" fontId="18" fillId="0" borderId="0" xfId="49" applyNumberFormat="1" applyFont="1" applyFill="1" applyAlignment="1">
      <alignment horizontal="center" wrapText="1"/>
    </xf>
    <xf numFmtId="166" fontId="25" fillId="0" borderId="0" xfId="49" applyNumberFormat="1" applyFont="1" applyFill="1"/>
    <xf numFmtId="4" fontId="25" fillId="0" borderId="0" xfId="49" applyNumberFormat="1" applyFont="1" applyFill="1" applyBorder="1" applyAlignment="1">
      <alignment horizontal="left" wrapText="1"/>
    </xf>
    <xf numFmtId="166" fontId="28" fillId="0" borderId="0" xfId="49" applyNumberFormat="1" applyFont="1" applyFill="1" applyAlignment="1">
      <alignment horizontal="right" wrapText="1"/>
    </xf>
    <xf numFmtId="4" fontId="75" fillId="0" borderId="0" xfId="49" applyNumberFormat="1" applyFont="1" applyFill="1" applyAlignment="1">
      <alignment horizontal="center" wrapText="1"/>
    </xf>
    <xf numFmtId="4" fontId="75" fillId="0" borderId="0" xfId="49" applyNumberFormat="1" applyFont="1" applyFill="1" applyAlignment="1">
      <alignment horizontal="left" wrapText="1"/>
    </xf>
    <xf numFmtId="0" fontId="75" fillId="0" borderId="0" xfId="49" applyFont="1" applyFill="1" applyAlignment="1">
      <alignment horizontal="right" wrapText="1"/>
    </xf>
    <xf numFmtId="169" fontId="18" fillId="0" borderId="0" xfId="88" applyFont="1" applyFill="1" applyAlignment="1">
      <alignment horizontal="center" wrapText="1"/>
    </xf>
    <xf numFmtId="4" fontId="25" fillId="0" borderId="0" xfId="49" applyNumberFormat="1" applyFont="1" applyFill="1" applyAlignment="1">
      <alignment horizontal="center" wrapText="1"/>
    </xf>
    <xf numFmtId="0" fontId="77" fillId="0" borderId="0" xfId="49" applyFont="1" applyFill="1" applyAlignment="1">
      <alignment wrapText="1"/>
    </xf>
    <xf numFmtId="169" fontId="77" fillId="0" borderId="0" xfId="88" applyFont="1" applyFill="1" applyAlignment="1">
      <alignment wrapText="1"/>
    </xf>
    <xf numFmtId="4" fontId="76" fillId="0" borderId="0" xfId="49" applyNumberFormat="1" applyFont="1" applyFill="1" applyBorder="1" applyAlignment="1">
      <alignment horizontal="center" wrapText="1"/>
    </xf>
    <xf numFmtId="3" fontId="76" fillId="0" borderId="0" xfId="49" applyNumberFormat="1" applyFont="1" applyFill="1" applyBorder="1" applyAlignment="1">
      <alignment horizontal="right" wrapText="1"/>
    </xf>
    <xf numFmtId="0" fontId="76" fillId="0" borderId="0" xfId="49" applyFont="1" applyFill="1" applyBorder="1" applyAlignment="1">
      <alignment horizontal="left" wrapText="1"/>
    </xf>
    <xf numFmtId="0" fontId="76" fillId="0" borderId="0" xfId="49" applyFont="1" applyFill="1" applyBorder="1" applyAlignment="1">
      <alignment horizontal="right" wrapText="1"/>
    </xf>
    <xf numFmtId="0" fontId="25" fillId="0" borderId="0" xfId="49" applyFont="1" applyFill="1" applyAlignment="1">
      <alignment horizontal="right" wrapText="1"/>
    </xf>
    <xf numFmtId="4" fontId="25" fillId="0" borderId="0" xfId="49" applyNumberFormat="1" applyFont="1" applyFill="1" applyAlignment="1">
      <alignment wrapText="1"/>
    </xf>
    <xf numFmtId="165" fontId="81" fillId="0" borderId="0" xfId="49" applyNumberFormat="1" applyFont="1" applyFill="1" applyAlignment="1">
      <alignment horizontal="left" wrapText="1"/>
    </xf>
    <xf numFmtId="169" fontId="74" fillId="0" borderId="0" xfId="88" applyFont="1" applyFill="1" applyAlignment="1">
      <alignment horizontal="center" wrapText="1"/>
    </xf>
    <xf numFmtId="0" fontId="28" fillId="0" borderId="0" xfId="49" applyFont="1" applyFill="1" applyAlignment="1">
      <alignment wrapText="1"/>
    </xf>
    <xf numFmtId="0" fontId="75" fillId="0" borderId="0" xfId="49" applyFont="1" applyFill="1" applyAlignment="1">
      <alignment wrapText="1"/>
    </xf>
    <xf numFmtId="0" fontId="75" fillId="0" borderId="0" xfId="49" applyFont="1" applyFill="1" applyAlignment="1">
      <alignment horizontal="center" wrapText="1"/>
    </xf>
    <xf numFmtId="0" fontId="76" fillId="0" borderId="0" xfId="49" applyFont="1" applyFill="1" applyAlignment="1">
      <alignment wrapText="1"/>
    </xf>
    <xf numFmtId="0" fontId="5" fillId="0" borderId="0" xfId="49" applyFont="1" applyFill="1" applyAlignment="1">
      <alignment horizontal="left" vertical="top" wrapText="1"/>
    </xf>
    <xf numFmtId="0" fontId="76" fillId="0" borderId="0" xfId="49" applyFont="1" applyFill="1" applyBorder="1" applyAlignment="1">
      <alignment wrapText="1"/>
    </xf>
    <xf numFmtId="0" fontId="74" fillId="0" borderId="0" xfId="49" applyFont="1" applyFill="1" applyAlignment="1">
      <alignment vertical="top" wrapText="1"/>
    </xf>
    <xf numFmtId="0" fontId="73" fillId="0" borderId="0" xfId="49" applyFont="1" applyFill="1" applyBorder="1" applyAlignment="1">
      <alignment horizontal="center" vertical="top" wrapText="1"/>
    </xf>
    <xf numFmtId="0" fontId="22" fillId="0" borderId="0" xfId="49" applyFont="1" applyFill="1" applyAlignment="1">
      <alignment horizontal="left"/>
    </xf>
    <xf numFmtId="0" fontId="32" fillId="0" borderId="0" xfId="49" applyFont="1" applyFill="1" applyBorder="1" applyAlignment="1">
      <alignment vertical="top" wrapText="1"/>
    </xf>
    <xf numFmtId="165" fontId="25" fillId="0" borderId="1" xfId="85" applyFont="1" applyBorder="1" applyAlignment="1">
      <alignment horizontal="left" wrapText="1"/>
    </xf>
    <xf numFmtId="0" fontId="23" fillId="0" borderId="1" xfId="0" applyFont="1" applyBorder="1" applyAlignment="1">
      <alignment horizontal="center"/>
    </xf>
    <xf numFmtId="0" fontId="106" fillId="0" borderId="1" xfId="0" applyFont="1" applyBorder="1" applyAlignment="1">
      <alignment horizontal="center" wrapText="1"/>
    </xf>
    <xf numFmtId="3" fontId="106" fillId="0" borderId="1" xfId="0" applyNumberFormat="1" applyFont="1" applyBorder="1" applyAlignment="1">
      <alignment horizontal="center"/>
    </xf>
    <xf numFmtId="4" fontId="106" fillId="0" borderId="1" xfId="0" applyNumberFormat="1" applyFont="1" applyBorder="1" applyAlignment="1">
      <alignment horizontal="center"/>
    </xf>
    <xf numFmtId="0" fontId="106" fillId="0" borderId="1" xfId="0" applyFont="1" applyBorder="1" applyAlignment="1">
      <alignment horizontal="left" wrapText="1"/>
    </xf>
    <xf numFmtId="49" fontId="106" fillId="0" borderId="1" xfId="0" applyNumberFormat="1" applyFont="1" applyBorder="1" applyAlignment="1">
      <alignment horizontal="center"/>
    </xf>
    <xf numFmtId="0" fontId="22" fillId="0" borderId="16" xfId="0" applyFont="1" applyBorder="1" applyAlignment="1">
      <alignment horizontal="left" wrapText="1"/>
    </xf>
    <xf numFmtId="0" fontId="22" fillId="0" borderId="1" xfId="0" applyFont="1" applyBorder="1" applyAlignment="1">
      <alignment horizontal="left" vertical="top" wrapText="1"/>
    </xf>
    <xf numFmtId="2" fontId="22" fillId="0" borderId="1" xfId="0" applyNumberFormat="1" applyFont="1" applyFill="1" applyBorder="1" applyAlignment="1">
      <alignment horizontal="center" vertical="top" wrapText="1"/>
    </xf>
    <xf numFmtId="4" fontId="22" fillId="0" borderId="1" xfId="0" applyNumberFormat="1" applyFont="1" applyBorder="1" applyAlignment="1">
      <alignment horizontal="right" vertical="top" wrapText="1"/>
    </xf>
    <xf numFmtId="0" fontId="19" fillId="0" borderId="0" xfId="0" applyFont="1" applyFill="1"/>
    <xf numFmtId="0" fontId="2" fillId="0" borderId="0" xfId="0" applyFont="1" applyFill="1" applyAlignment="1">
      <alignment horizontal="right"/>
    </xf>
    <xf numFmtId="4" fontId="2" fillId="0" borderId="0" xfId="0" applyNumberFormat="1" applyFont="1" applyFill="1"/>
    <xf numFmtId="2" fontId="2" fillId="0" borderId="0" xfId="0" applyNumberFormat="1" applyFont="1" applyFill="1"/>
    <xf numFmtId="0" fontId="25" fillId="0" borderId="3" xfId="46" applyFont="1" applyFill="1" applyBorder="1" applyAlignment="1">
      <alignment horizontal="center"/>
    </xf>
    <xf numFmtId="0" fontId="25" fillId="0" borderId="0" xfId="46" applyFont="1" applyFill="1" applyAlignment="1">
      <alignment horizontal="center" vertical="top"/>
    </xf>
    <xf numFmtId="0" fontId="36" fillId="11" borderId="1" xfId="0" applyFont="1" applyFill="1" applyBorder="1" applyAlignment="1">
      <alignment horizontal="center" vertical="center" wrapText="1"/>
    </xf>
    <xf numFmtId="4" fontId="36" fillId="11" borderId="1" xfId="0" applyNumberFormat="1" applyFont="1" applyFill="1" applyBorder="1" applyAlignment="1">
      <alignment horizontal="center" vertical="center" wrapText="1"/>
    </xf>
    <xf numFmtId="4" fontId="36" fillId="11" borderId="1" xfId="0" applyNumberFormat="1" applyFont="1" applyFill="1" applyBorder="1" applyAlignment="1">
      <alignment horizontal="left" vertical="center" wrapText="1"/>
    </xf>
    <xf numFmtId="4" fontId="36" fillId="14" borderId="1" xfId="0" applyNumberFormat="1" applyFont="1" applyFill="1" applyBorder="1" applyAlignment="1">
      <alignment horizontal="left" vertical="center" wrapText="1"/>
    </xf>
    <xf numFmtId="0" fontId="36" fillId="14" borderId="1" xfId="0" applyFont="1" applyFill="1" applyBorder="1" applyAlignment="1">
      <alignment horizontal="center" vertical="center" wrapText="1"/>
    </xf>
    <xf numFmtId="4" fontId="36" fillId="14" borderId="1" xfId="0" applyNumberFormat="1" applyFont="1" applyFill="1" applyBorder="1" applyAlignment="1">
      <alignment horizontal="center" vertical="center" wrapText="1"/>
    </xf>
    <xf numFmtId="3" fontId="25" fillId="0" borderId="15" xfId="0" applyNumberFormat="1" applyFont="1" applyFill="1" applyBorder="1" applyAlignment="1">
      <alignment horizontal="center" vertical="center" wrapText="1"/>
    </xf>
    <xf numFmtId="186" fontId="32" fillId="0" borderId="1" xfId="0" applyNumberFormat="1" applyFont="1" applyFill="1" applyBorder="1" applyAlignment="1">
      <alignment horizontal="center" vertical="center" wrapText="1"/>
    </xf>
    <xf numFmtId="4" fontId="32" fillId="0" borderId="1" xfId="0" applyNumberFormat="1" applyFont="1" applyFill="1" applyBorder="1" applyAlignment="1">
      <alignment horizontal="center" vertical="center" wrapText="1"/>
    </xf>
    <xf numFmtId="0" fontId="32" fillId="0" borderId="1" xfId="0" applyFont="1" applyFill="1" applyBorder="1" applyAlignment="1">
      <alignment horizontal="center" vertical="center" wrapText="1"/>
    </xf>
    <xf numFmtId="2" fontId="32" fillId="0" borderId="1" xfId="0" applyNumberFormat="1" applyFont="1" applyFill="1" applyBorder="1" applyAlignment="1">
      <alignment horizontal="center"/>
    </xf>
    <xf numFmtId="4" fontId="32" fillId="0" borderId="1" xfId="0" applyNumberFormat="1" applyFont="1" applyFill="1" applyBorder="1" applyAlignment="1">
      <alignment horizontal="center"/>
    </xf>
    <xf numFmtId="0" fontId="2" fillId="0" borderId="1" xfId="0" applyFont="1" applyFill="1" applyBorder="1"/>
    <xf numFmtId="0" fontId="32" fillId="0" borderId="1" xfId="0" applyFont="1" applyFill="1" applyBorder="1" applyAlignment="1">
      <alignment horizontal="center"/>
    </xf>
    <xf numFmtId="186" fontId="36" fillId="11" borderId="1" xfId="0" applyNumberFormat="1" applyFont="1" applyFill="1" applyBorder="1" applyAlignment="1">
      <alignment horizontal="center" vertical="center" wrapText="1"/>
    </xf>
    <xf numFmtId="0" fontId="107" fillId="11" borderId="1" xfId="0" applyFont="1" applyFill="1" applyBorder="1"/>
    <xf numFmtId="186" fontId="36" fillId="14" borderId="1" xfId="0" applyNumberFormat="1" applyFont="1" applyFill="1" applyBorder="1" applyAlignment="1">
      <alignment horizontal="center" vertical="center" wrapText="1"/>
    </xf>
    <xf numFmtId="0" fontId="107" fillId="14" borderId="1" xfId="0" applyFont="1" applyFill="1" applyBorder="1"/>
    <xf numFmtId="187" fontId="22" fillId="0" borderId="1" xfId="0" applyNumberFormat="1" applyFont="1" applyBorder="1" applyAlignment="1">
      <alignment horizontal="right" vertical="top" wrapText="1"/>
    </xf>
    <xf numFmtId="188" fontId="22" fillId="0" borderId="1" xfId="85" applyNumberFormat="1" applyFont="1" applyFill="1" applyBorder="1" applyAlignment="1">
      <alignment horizontal="right" vertical="top" wrapText="1"/>
    </xf>
    <xf numFmtId="4" fontId="25" fillId="0" borderId="1" xfId="47" applyNumberFormat="1" applyFont="1" applyFill="1" applyBorder="1" applyAlignment="1" applyProtection="1">
      <alignment horizontal="center" vertical="center"/>
    </xf>
    <xf numFmtId="165" fontId="108" fillId="0" borderId="0" xfId="85" applyFont="1"/>
    <xf numFmtId="0" fontId="108" fillId="0" borderId="0" xfId="47" applyFont="1"/>
    <xf numFmtId="165" fontId="108" fillId="0" borderId="0" xfId="47" applyNumberFormat="1" applyFont="1"/>
    <xf numFmtId="0" fontId="109" fillId="0" borderId="0" xfId="46" applyFont="1" applyBorder="1" applyAlignment="1">
      <alignment horizontal="left" wrapText="1"/>
    </xf>
    <xf numFmtId="165" fontId="109" fillId="0" borderId="0" xfId="46" applyNumberFormat="1" applyFont="1" applyBorder="1" applyAlignment="1">
      <alignment wrapText="1"/>
    </xf>
    <xf numFmtId="0" fontId="109" fillId="0" borderId="0" xfId="46" applyFont="1" applyAlignment="1">
      <alignment horizontal="center"/>
    </xf>
    <xf numFmtId="0" fontId="109" fillId="0" borderId="0" xfId="46" applyFont="1" applyAlignment="1">
      <alignment horizontal="center" wrapText="1"/>
    </xf>
    <xf numFmtId="165" fontId="109" fillId="0" borderId="0" xfId="46" applyNumberFormat="1" applyFont="1" applyBorder="1" applyAlignment="1">
      <alignment horizontal="center" wrapText="1"/>
    </xf>
    <xf numFmtId="0" fontId="109" fillId="0" borderId="0" xfId="46" applyFont="1" applyBorder="1" applyAlignment="1">
      <alignment wrapText="1"/>
    </xf>
    <xf numFmtId="0" fontId="25" fillId="0" borderId="1" xfId="70" applyFont="1" applyBorder="1" applyAlignment="1">
      <alignment vertical="top" wrapText="1"/>
    </xf>
    <xf numFmtId="165" fontId="25" fillId="0" borderId="1" xfId="86" applyFont="1" applyFill="1" applyBorder="1" applyAlignment="1">
      <alignment horizontal="left" vertical="top" wrapText="1"/>
    </xf>
    <xf numFmtId="187" fontId="25" fillId="0" borderId="1" xfId="86" applyNumberFormat="1" applyFont="1" applyFill="1" applyBorder="1" applyAlignment="1">
      <alignment horizontal="center" vertical="top" wrapText="1"/>
    </xf>
    <xf numFmtId="165" fontId="25" fillId="0" borderId="1" xfId="86" applyFont="1" applyFill="1" applyBorder="1" applyAlignment="1">
      <alignment horizontal="center" vertical="top" wrapText="1"/>
    </xf>
    <xf numFmtId="0" fontId="25" fillId="0" borderId="1" xfId="70" applyFont="1" applyFill="1" applyBorder="1" applyAlignment="1">
      <alignment vertical="top" wrapText="1"/>
    </xf>
    <xf numFmtId="4" fontId="25" fillId="0" borderId="1" xfId="47" applyNumberFormat="1" applyFont="1" applyFill="1" applyBorder="1" applyAlignment="1">
      <alignment horizontal="center" wrapText="1"/>
    </xf>
    <xf numFmtId="4" fontId="28" fillId="0" borderId="1" xfId="47" applyNumberFormat="1" applyFont="1" applyFill="1" applyBorder="1" applyAlignment="1">
      <alignment horizontal="center" wrapText="1"/>
    </xf>
    <xf numFmtId="0" fontId="25" fillId="0" borderId="1" xfId="70" applyFont="1" applyBorder="1" applyAlignment="1">
      <alignment horizontal="center" wrapText="1"/>
    </xf>
    <xf numFmtId="165" fontId="25" fillId="0" borderId="1" xfId="86" applyFont="1" applyBorder="1" applyAlignment="1">
      <alignment horizontal="center" wrapText="1"/>
    </xf>
    <xf numFmtId="4" fontId="28" fillId="0" borderId="1" xfId="47" applyNumberFormat="1" applyFont="1" applyBorder="1" applyAlignment="1">
      <alignment horizontal="center" vertical="center" wrapText="1"/>
    </xf>
    <xf numFmtId="4" fontId="25" fillId="0" borderId="1" xfId="86" applyNumberFormat="1" applyFont="1" applyBorder="1" applyAlignment="1">
      <alignment horizontal="center" wrapText="1"/>
    </xf>
    <xf numFmtId="165" fontId="28" fillId="0" borderId="1" xfId="85" applyFont="1" applyBorder="1" applyAlignment="1">
      <alignment horizontal="right" wrapText="1"/>
    </xf>
    <xf numFmtId="165" fontId="25" fillId="0" borderId="1" xfId="86" applyFont="1" applyFill="1" applyBorder="1" applyAlignment="1">
      <alignment horizontal="center" wrapText="1"/>
    </xf>
    <xf numFmtId="0" fontId="25" fillId="0" borderId="0" xfId="45" applyFont="1" applyAlignment="1">
      <alignment horizontal="center" vertical="center"/>
    </xf>
    <xf numFmtId="0" fontId="25" fillId="0" borderId="0" xfId="45" applyFont="1" applyAlignment="1">
      <alignment horizontal="center"/>
    </xf>
    <xf numFmtId="0" fontId="25" fillId="0" borderId="0" xfId="45" applyFont="1" applyFill="1"/>
    <xf numFmtId="0" fontId="25" fillId="0" borderId="0" xfId="45" applyFont="1"/>
    <xf numFmtId="0" fontId="25" fillId="0" borderId="1" xfId="45" applyFont="1" applyBorder="1" applyAlignment="1">
      <alignment horizontal="center" vertical="center" wrapText="1"/>
    </xf>
    <xf numFmtId="0" fontId="25" fillId="0" borderId="1" xfId="45" applyFont="1" applyFill="1" applyBorder="1" applyAlignment="1">
      <alignment horizontal="center" vertical="center" wrapText="1"/>
    </xf>
    <xf numFmtId="0" fontId="25" fillId="15" borderId="1" xfId="45" applyFont="1" applyFill="1" applyBorder="1" applyAlignment="1">
      <alignment horizontal="center" vertical="center" wrapText="1"/>
    </xf>
    <xf numFmtId="0" fontId="25" fillId="0" borderId="0" xfId="45" applyFont="1" applyAlignment="1">
      <alignment horizontal="center" vertical="center" wrapText="1"/>
    </xf>
    <xf numFmtId="0" fontId="25" fillId="0" borderId="1" xfId="45" applyFont="1" applyFill="1" applyBorder="1" applyAlignment="1">
      <alignment horizontal="center" vertical="center"/>
    </xf>
    <xf numFmtId="0" fontId="25" fillId="0" borderId="1" xfId="45" applyFont="1" applyFill="1" applyBorder="1" applyAlignment="1">
      <alignment wrapText="1"/>
    </xf>
    <xf numFmtId="0" fontId="25" fillId="0" borderId="1" xfId="45" applyFont="1" applyFill="1" applyBorder="1" applyAlignment="1">
      <alignment horizontal="center"/>
    </xf>
    <xf numFmtId="4" fontId="22" fillId="6" borderId="1" xfId="45" applyNumberFormat="1" applyFont="1" applyFill="1" applyBorder="1" applyAlignment="1">
      <alignment horizontal="center" vertical="center" wrapText="1"/>
    </xf>
    <xf numFmtId="2" fontId="25" fillId="0" borderId="1" xfId="45" applyNumberFormat="1" applyFont="1" applyFill="1" applyBorder="1" applyAlignment="1">
      <alignment horizontal="center"/>
    </xf>
    <xf numFmtId="2" fontId="25" fillId="15" borderId="1" xfId="45" applyNumberFormat="1" applyFont="1" applyFill="1" applyBorder="1"/>
    <xf numFmtId="0" fontId="25" fillId="0" borderId="1" xfId="45" applyFont="1" applyFill="1" applyBorder="1" applyAlignment="1">
      <alignment vertical="top" wrapText="1"/>
    </xf>
    <xf numFmtId="2" fontId="113" fillId="0" borderId="1" xfId="45" applyNumberFormat="1" applyFont="1" applyFill="1" applyBorder="1" applyAlignment="1">
      <alignment horizontal="center"/>
    </xf>
    <xf numFmtId="0" fontId="28" fillId="0" borderId="0" xfId="45" applyFont="1" applyFill="1" applyAlignment="1">
      <alignment horizontal="center" vertical="center"/>
    </xf>
    <xf numFmtId="2" fontId="28" fillId="0" borderId="1" xfId="45" applyNumberFormat="1" applyFont="1" applyFill="1" applyBorder="1" applyAlignment="1">
      <alignment horizontal="center"/>
    </xf>
    <xf numFmtId="2" fontId="28" fillId="15" borderId="2" xfId="45" applyNumberFormat="1" applyFont="1" applyFill="1" applyBorder="1" applyAlignment="1">
      <alignment horizontal="center"/>
    </xf>
    <xf numFmtId="0" fontId="28" fillId="0" borderId="0" xfId="45" applyFont="1" applyFill="1"/>
    <xf numFmtId="2" fontId="28" fillId="15" borderId="1" xfId="45" applyNumberFormat="1" applyFont="1" applyFill="1" applyBorder="1" applyAlignment="1">
      <alignment horizontal="center"/>
    </xf>
    <xf numFmtId="0" fontId="41" fillId="0" borderId="0" xfId="45" applyFont="1" applyFill="1" applyBorder="1" applyAlignment="1">
      <alignment horizontal="center" vertical="center"/>
    </xf>
    <xf numFmtId="0" fontId="41" fillId="0" borderId="0" xfId="45" applyFont="1" applyFill="1" applyBorder="1" applyAlignment="1"/>
    <xf numFmtId="2" fontId="28" fillId="9" borderId="1" xfId="45" applyNumberFormat="1" applyFont="1" applyFill="1" applyBorder="1" applyAlignment="1">
      <alignment horizontal="center"/>
    </xf>
    <xf numFmtId="0" fontId="25" fillId="0" borderId="0" xfId="45" applyFont="1" applyAlignment="1">
      <alignment horizontal="left" vertical="center"/>
    </xf>
    <xf numFmtId="0" fontId="28" fillId="0" borderId="1" xfId="45" applyFont="1" applyBorder="1" applyAlignment="1">
      <alignment horizontal="center"/>
    </xf>
    <xf numFmtId="0" fontId="28" fillId="15" borderId="1" xfId="45" applyFont="1" applyFill="1" applyBorder="1" applyAlignment="1">
      <alignment horizontal="center"/>
    </xf>
    <xf numFmtId="0" fontId="25" fillId="0" borderId="0" xfId="45" applyFont="1" applyAlignment="1">
      <alignment horizontal="left"/>
    </xf>
    <xf numFmtId="0" fontId="25" fillId="0" borderId="0" xfId="45" applyFont="1" applyBorder="1" applyAlignment="1">
      <alignment horizontal="center" vertical="center"/>
    </xf>
    <xf numFmtId="2" fontId="28" fillId="0" borderId="1" xfId="45" applyNumberFormat="1" applyFont="1" applyBorder="1" applyAlignment="1">
      <alignment horizontal="center"/>
    </xf>
    <xf numFmtId="2" fontId="28" fillId="7" borderId="1" xfId="45" applyNumberFormat="1" applyFont="1" applyFill="1" applyBorder="1" applyAlignment="1">
      <alignment horizontal="center"/>
    </xf>
    <xf numFmtId="0" fontId="41" fillId="0" borderId="0" xfId="45" applyFont="1" applyFill="1" applyBorder="1" applyAlignment="1">
      <alignment horizontal="left" vertical="center"/>
    </xf>
    <xf numFmtId="0" fontId="25" fillId="0" borderId="0" xfId="45" applyFont="1" applyBorder="1"/>
    <xf numFmtId="0" fontId="25" fillId="0" borderId="0" xfId="45" applyFont="1" applyAlignment="1">
      <alignment horizontal="center" wrapText="1"/>
    </xf>
    <xf numFmtId="0" fontId="41" fillId="0" borderId="0" xfId="45" applyFont="1" applyAlignment="1">
      <alignment horizontal="center" wrapText="1"/>
    </xf>
    <xf numFmtId="0" fontId="4" fillId="0" borderId="0" xfId="45" applyFont="1" applyAlignment="1">
      <alignment horizontal="center" wrapText="1"/>
    </xf>
    <xf numFmtId="0" fontId="4" fillId="0" borderId="0" xfId="45" applyFont="1"/>
    <xf numFmtId="0" fontId="25" fillId="0" borderId="1" xfId="45" applyFont="1" applyFill="1" applyBorder="1" applyAlignment="1">
      <alignment horizontal="center" wrapText="1"/>
    </xf>
    <xf numFmtId="0" fontId="25" fillId="0" borderId="1" xfId="45" applyFont="1" applyBorder="1" applyAlignment="1">
      <alignment horizontal="center" wrapText="1"/>
    </xf>
    <xf numFmtId="0" fontId="25" fillId="0" borderId="0" xfId="45" applyFont="1" applyAlignment="1">
      <alignment horizontal="left" wrapText="1"/>
    </xf>
    <xf numFmtId="0" fontId="25" fillId="0" borderId="5" xfId="45" applyFont="1" applyBorder="1" applyAlignment="1">
      <alignment horizontal="center" wrapText="1"/>
    </xf>
    <xf numFmtId="0" fontId="25" fillId="0" borderId="6" xfId="45" applyFont="1" applyBorder="1" applyAlignment="1">
      <alignment horizontal="center" wrapText="1"/>
    </xf>
    <xf numFmtId="0" fontId="25" fillId="0" borderId="0" xfId="45" applyFont="1" applyBorder="1" applyAlignment="1">
      <alignment horizontal="center" wrapText="1"/>
    </xf>
    <xf numFmtId="0" fontId="4" fillId="0" borderId="0" xfId="45" applyFont="1" applyAlignment="1">
      <alignment horizontal="center" vertical="center" wrapText="1"/>
    </xf>
    <xf numFmtId="0" fontId="25" fillId="0" borderId="0" xfId="45" applyFont="1" applyBorder="1" applyAlignment="1">
      <alignment horizontal="center" vertical="center" wrapText="1"/>
    </xf>
    <xf numFmtId="0" fontId="25" fillId="0" borderId="0" xfId="45" applyFont="1" applyBorder="1" applyAlignment="1">
      <alignment horizontal="left" wrapText="1"/>
    </xf>
    <xf numFmtId="49" fontId="25" fillId="0" borderId="1" xfId="45" applyNumberFormat="1" applyFont="1" applyBorder="1" applyAlignment="1">
      <alignment horizontal="center" vertical="center" wrapText="1"/>
    </xf>
    <xf numFmtId="49" fontId="25" fillId="0" borderId="1" xfId="45" applyNumberFormat="1" applyFont="1" applyFill="1" applyBorder="1" applyAlignment="1">
      <alignment horizontal="center" vertical="center" wrapText="1"/>
    </xf>
    <xf numFmtId="49" fontId="25" fillId="0" borderId="0" xfId="45" applyNumberFormat="1" applyFont="1" applyBorder="1" applyAlignment="1">
      <alignment horizontal="center" vertical="center" wrapText="1"/>
    </xf>
    <xf numFmtId="49" fontId="114" fillId="0" borderId="15" xfId="45" applyNumberFormat="1" applyFont="1" applyBorder="1" applyAlignment="1">
      <alignment horizontal="center" vertical="center" wrapText="1"/>
    </xf>
    <xf numFmtId="49" fontId="114" fillId="0" borderId="15" xfId="45" applyNumberFormat="1" applyFont="1" applyFill="1" applyBorder="1" applyAlignment="1">
      <alignment horizontal="center" vertical="center" wrapText="1"/>
    </xf>
    <xf numFmtId="49" fontId="114" fillId="0" borderId="0" xfId="45" applyNumberFormat="1" applyFont="1" applyBorder="1" applyAlignment="1">
      <alignment horizontal="center" vertical="center" wrapText="1"/>
    </xf>
    <xf numFmtId="0" fontId="114" fillId="0" borderId="0" xfId="45" applyFont="1" applyAlignment="1">
      <alignment horizontal="center" vertical="center" wrapText="1"/>
    </xf>
    <xf numFmtId="3" fontId="25" fillId="0" borderId="1" xfId="45" applyNumberFormat="1" applyFont="1" applyBorder="1" applyAlignment="1">
      <alignment horizontal="center" wrapText="1"/>
    </xf>
    <xf numFmtId="3" fontId="25" fillId="0" borderId="1" xfId="45" applyNumberFormat="1" applyFont="1" applyBorder="1" applyAlignment="1">
      <alignment horizontal="center" vertical="center" wrapText="1"/>
    </xf>
    <xf numFmtId="3" fontId="25" fillId="0" borderId="1" xfId="45" applyNumberFormat="1" applyFont="1" applyFill="1" applyBorder="1" applyAlignment="1">
      <alignment horizontal="center" wrapText="1"/>
    </xf>
    <xf numFmtId="0" fontId="25" fillId="0" borderId="0" xfId="45" applyFont="1" applyFill="1" applyBorder="1" applyAlignment="1">
      <alignment horizontal="center" wrapText="1"/>
    </xf>
    <xf numFmtId="0" fontId="4" fillId="0" borderId="0" xfId="45" applyFont="1" applyBorder="1" applyAlignment="1">
      <alignment horizontal="center" wrapText="1"/>
    </xf>
    <xf numFmtId="0" fontId="4" fillId="0" borderId="0" xfId="45" applyFont="1" applyBorder="1" applyAlignment="1">
      <alignment horizontal="center" vertical="center" wrapText="1"/>
    </xf>
    <xf numFmtId="0" fontId="42" fillId="0" borderId="0" xfId="45" applyFont="1" applyBorder="1" applyAlignment="1">
      <alignment horizontal="left" wrapText="1"/>
    </xf>
    <xf numFmtId="0" fontId="25" fillId="0" borderId="1" xfId="45" applyFont="1" applyBorder="1" applyAlignment="1">
      <alignment horizontal="left" wrapText="1"/>
    </xf>
    <xf numFmtId="1" fontId="25" fillId="0" borderId="1" xfId="45" applyNumberFormat="1" applyFont="1" applyBorder="1" applyAlignment="1">
      <alignment horizontal="center" wrapText="1"/>
    </xf>
    <xf numFmtId="2" fontId="25" fillId="0" borderId="1" xfId="45" applyNumberFormat="1" applyFont="1" applyBorder="1" applyAlignment="1">
      <alignment horizontal="center" wrapText="1"/>
    </xf>
    <xf numFmtId="4" fontId="25" fillId="0" borderId="1" xfId="45" applyNumberFormat="1" applyFont="1" applyBorder="1" applyAlignment="1">
      <alignment horizontal="center" wrapText="1"/>
    </xf>
    <xf numFmtId="0" fontId="28" fillId="0" borderId="1" xfId="45" applyFont="1" applyBorder="1" applyAlignment="1">
      <alignment horizontal="right" wrapText="1"/>
    </xf>
    <xf numFmtId="4" fontId="28" fillId="0" borderId="1" xfId="45" applyNumberFormat="1" applyFont="1" applyBorder="1" applyAlignment="1">
      <alignment horizontal="center" wrapText="1"/>
    </xf>
    <xf numFmtId="0" fontId="5" fillId="0" borderId="0" xfId="45" applyFont="1" applyAlignment="1">
      <alignment horizontal="left"/>
    </xf>
    <xf numFmtId="0" fontId="5" fillId="0" borderId="0" xfId="45" applyFont="1" applyAlignment="1">
      <alignment horizontal="right"/>
    </xf>
    <xf numFmtId="0" fontId="25" fillId="0" borderId="3" xfId="45" applyFont="1" applyBorder="1" applyAlignment="1">
      <alignment horizontal="center" wrapText="1"/>
    </xf>
    <xf numFmtId="0" fontId="17" fillId="0" borderId="0" xfId="45" applyFont="1" applyAlignment="1">
      <alignment horizontal="center" wrapText="1"/>
    </xf>
    <xf numFmtId="0" fontId="25" fillId="0" borderId="0" xfId="45" applyFont="1" applyAlignment="1">
      <alignment horizontal="right" wrapText="1"/>
    </xf>
    <xf numFmtId="3" fontId="4" fillId="0" borderId="0" xfId="45" applyNumberFormat="1" applyFont="1" applyAlignment="1">
      <alignment horizontal="center" wrapText="1"/>
    </xf>
    <xf numFmtId="4" fontId="4" fillId="0" borderId="0" xfId="45" applyNumberFormat="1" applyFont="1" applyAlignment="1">
      <alignment horizontal="center" wrapText="1"/>
    </xf>
    <xf numFmtId="0" fontId="25" fillId="0" borderId="0" xfId="45" applyFont="1" applyAlignment="1">
      <alignment horizontal="left" wrapText="1" indent="3"/>
    </xf>
    <xf numFmtId="0" fontId="22" fillId="7" borderId="1" xfId="0" applyFont="1" applyFill="1" applyBorder="1" applyAlignment="1">
      <alignment horizontal="center" wrapText="1"/>
    </xf>
    <xf numFmtId="0" fontId="22" fillId="7" borderId="1" xfId="0" applyFont="1" applyFill="1" applyBorder="1" applyAlignment="1">
      <alignment horizontal="center"/>
    </xf>
    <xf numFmtId="0" fontId="22" fillId="7" borderId="1" xfId="0" applyFont="1" applyFill="1" applyBorder="1" applyAlignment="1">
      <alignment horizontal="left" wrapText="1"/>
    </xf>
    <xf numFmtId="4" fontId="22" fillId="7" borderId="1" xfId="0" applyNumberFormat="1" applyFont="1" applyFill="1" applyBorder="1" applyAlignment="1">
      <alignment horizontal="center"/>
    </xf>
    <xf numFmtId="0" fontId="25" fillId="0" borderId="2" xfId="0" applyFont="1" applyFill="1" applyBorder="1" applyAlignment="1">
      <alignment horizontal="center" wrapText="1" shrinkToFit="1"/>
    </xf>
    <xf numFmtId="1" fontId="25" fillId="0" borderId="1" xfId="0" applyNumberFormat="1" applyFont="1" applyFill="1" applyBorder="1" applyAlignment="1">
      <alignment horizontal="center" wrapText="1" shrinkToFit="1"/>
    </xf>
    <xf numFmtId="0" fontId="25" fillId="0" borderId="1" xfId="0" applyFont="1" applyFill="1" applyBorder="1" applyAlignment="1">
      <alignment horizontal="center" wrapText="1" shrinkToFit="1"/>
    </xf>
    <xf numFmtId="165" fontId="25" fillId="0" borderId="1" xfId="85" applyFont="1" applyFill="1" applyBorder="1" applyAlignment="1">
      <alignment horizontal="center" wrapText="1" shrinkToFit="1"/>
    </xf>
    <xf numFmtId="1" fontId="25" fillId="0" borderId="1" xfId="0" applyNumberFormat="1" applyFont="1" applyFill="1" applyBorder="1" applyAlignment="1">
      <alignment wrapText="1" shrinkToFit="1"/>
    </xf>
    <xf numFmtId="166" fontId="25" fillId="0" borderId="1" xfId="85" applyNumberFormat="1" applyFont="1" applyFill="1" applyBorder="1" applyAlignment="1">
      <alignment horizontal="center" wrapText="1" shrinkToFit="1"/>
    </xf>
    <xf numFmtId="1" fontId="25" fillId="0" borderId="1" xfId="0" applyNumberFormat="1" applyFont="1" applyBorder="1" applyAlignment="1">
      <alignment horizontal="center" wrapText="1" shrinkToFit="1"/>
    </xf>
    <xf numFmtId="1" fontId="22" fillId="0" borderId="1" xfId="0" applyNumberFormat="1" applyFont="1" applyFill="1" applyBorder="1" applyAlignment="1">
      <alignment wrapText="1" shrinkToFit="1"/>
    </xf>
    <xf numFmtId="2" fontId="5" fillId="0" borderId="0" xfId="47" applyNumberFormat="1" applyFont="1"/>
    <xf numFmtId="0" fontId="25" fillId="0" borderId="21" xfId="0" applyFont="1" applyBorder="1" applyAlignment="1">
      <alignment horizontal="justify" vertical="top" wrapText="1"/>
    </xf>
    <xf numFmtId="0" fontId="25" fillId="0" borderId="22" xfId="0" applyFont="1" applyBorder="1" applyAlignment="1">
      <alignment horizontal="justify" vertical="top" wrapText="1"/>
    </xf>
    <xf numFmtId="0" fontId="25" fillId="0" borderId="1" xfId="47" applyNumberFormat="1" applyFont="1" applyBorder="1" applyAlignment="1">
      <alignment horizontal="center" wrapText="1"/>
    </xf>
    <xf numFmtId="2" fontId="25" fillId="0" borderId="1" xfId="0" applyNumberFormat="1" applyFont="1" applyFill="1" applyBorder="1" applyAlignment="1">
      <alignment wrapText="1"/>
    </xf>
    <xf numFmtId="2" fontId="25" fillId="0" borderId="1" xfId="0" applyNumberFormat="1" applyFont="1" applyFill="1" applyBorder="1" applyAlignment="1">
      <alignment horizontal="center" wrapText="1"/>
    </xf>
    <xf numFmtId="0" fontId="22" fillId="2" borderId="0" xfId="0" applyFont="1" applyFill="1" applyAlignment="1">
      <alignment wrapText="1"/>
    </xf>
    <xf numFmtId="2" fontId="25" fillId="0" borderId="1" xfId="0" applyNumberFormat="1" applyFont="1" applyBorder="1" applyAlignment="1">
      <alignment horizontal="center" vertical="center"/>
    </xf>
    <xf numFmtId="0" fontId="25" fillId="0" borderId="17" xfId="0" applyFont="1" applyBorder="1" applyAlignment="1">
      <alignment horizontal="center" vertical="center"/>
    </xf>
    <xf numFmtId="0" fontId="22" fillId="0" borderId="0" xfId="0" applyFont="1" applyAlignment="1">
      <alignment wrapText="1"/>
    </xf>
    <xf numFmtId="0" fontId="25" fillId="0" borderId="16" xfId="47" applyFont="1" applyBorder="1" applyAlignment="1">
      <alignment horizontal="center"/>
    </xf>
    <xf numFmtId="2" fontId="22" fillId="0" borderId="1" xfId="0" applyNumberFormat="1" applyFont="1" applyBorder="1" applyAlignment="1">
      <alignment horizontal="center" wrapText="1"/>
    </xf>
    <xf numFmtId="2" fontId="25" fillId="0" borderId="1" xfId="0" applyNumberFormat="1" applyFont="1" applyBorder="1"/>
    <xf numFmtId="0" fontId="4" fillId="0" borderId="23" xfId="0" applyFont="1" applyFill="1" applyBorder="1" applyAlignment="1">
      <alignment horizontal="center" vertical="center" wrapText="1"/>
    </xf>
    <xf numFmtId="0" fontId="4" fillId="0" borderId="23" xfId="0" applyFont="1" applyFill="1" applyBorder="1" applyAlignment="1">
      <alignment horizontal="left" vertical="center" wrapText="1"/>
    </xf>
    <xf numFmtId="0" fontId="4" fillId="0" borderId="1" xfId="0" applyFont="1" applyFill="1" applyBorder="1" applyAlignment="1">
      <alignment horizontal="center" vertical="center" wrapText="1"/>
    </xf>
    <xf numFmtId="0" fontId="4" fillId="0" borderId="24" xfId="0" applyFont="1" applyFill="1" applyBorder="1" applyAlignment="1">
      <alignment horizontal="center" vertical="center" wrapText="1"/>
    </xf>
    <xf numFmtId="0" fontId="4" fillId="0" borderId="1" xfId="0" applyFont="1" applyFill="1" applyBorder="1" applyAlignment="1">
      <alignment vertical="center" wrapText="1"/>
    </xf>
    <xf numFmtId="0" fontId="4" fillId="0" borderId="24" xfId="0" applyFont="1" applyFill="1" applyBorder="1" applyAlignment="1">
      <alignment vertical="center" wrapText="1"/>
    </xf>
    <xf numFmtId="0" fontId="4" fillId="0" borderId="1" xfId="0" applyFont="1" applyFill="1" applyBorder="1" applyAlignment="1">
      <alignment horizontal="left" vertical="center" wrapText="1"/>
    </xf>
    <xf numFmtId="0" fontId="4" fillId="0" borderId="2" xfId="0" applyFont="1" applyFill="1" applyBorder="1" applyAlignment="1">
      <alignment horizontal="center" vertical="center" wrapText="1"/>
    </xf>
    <xf numFmtId="0" fontId="4" fillId="0" borderId="2" xfId="0" applyFont="1" applyFill="1" applyBorder="1" applyAlignment="1">
      <alignment horizontal="left" vertical="center" wrapText="1"/>
    </xf>
    <xf numFmtId="165" fontId="25" fillId="0" borderId="16" xfId="85" applyFont="1" applyBorder="1" applyAlignment="1">
      <alignment wrapText="1"/>
    </xf>
    <xf numFmtId="0" fontId="25" fillId="0" borderId="4" xfId="46" applyFont="1" applyBorder="1" applyAlignment="1">
      <alignment horizontal="center" wrapText="1"/>
    </xf>
    <xf numFmtId="0" fontId="5" fillId="0" borderId="1" xfId="47" applyFont="1" applyBorder="1"/>
    <xf numFmtId="0" fontId="5" fillId="0" borderId="1" xfId="47" applyFont="1" applyBorder="1" applyAlignment="1">
      <alignment wrapText="1"/>
    </xf>
    <xf numFmtId="0" fontId="25" fillId="0" borderId="4" xfId="46" applyFont="1" applyFill="1" applyBorder="1" applyAlignment="1">
      <alignment horizontal="center" vertical="top" wrapText="1"/>
    </xf>
    <xf numFmtId="0" fontId="22" fillId="0" borderId="1" xfId="0" applyFont="1" applyFill="1" applyBorder="1" applyAlignment="1">
      <alignment horizontal="center" vertical="center" wrapText="1"/>
    </xf>
    <xf numFmtId="0" fontId="25" fillId="0" borderId="1" xfId="71" applyFont="1" applyFill="1" applyBorder="1" applyAlignment="1">
      <alignment horizontal="center"/>
    </xf>
    <xf numFmtId="0" fontId="27" fillId="0" borderId="1" xfId="71" applyFont="1" applyFill="1" applyBorder="1" applyAlignment="1">
      <alignment horizontal="center" shrinkToFit="1"/>
    </xf>
    <xf numFmtId="4" fontId="25" fillId="0" borderId="1" xfId="71" applyNumberFormat="1" applyFont="1" applyFill="1" applyBorder="1" applyAlignment="1">
      <alignment horizontal="center"/>
    </xf>
    <xf numFmtId="4" fontId="28" fillId="0" borderId="1" xfId="71" applyNumberFormat="1" applyFont="1" applyFill="1" applyBorder="1"/>
    <xf numFmtId="1" fontId="25" fillId="0" borderId="1" xfId="71" applyNumberFormat="1" applyFont="1" applyFill="1" applyBorder="1" applyAlignment="1">
      <alignment horizontal="center"/>
    </xf>
    <xf numFmtId="4" fontId="25" fillId="0" borderId="1" xfId="71" applyNumberFormat="1" applyFont="1" applyFill="1" applyBorder="1" applyAlignment="1">
      <alignment horizontal="center" vertical="center" wrapText="1"/>
    </xf>
    <xf numFmtId="4" fontId="25" fillId="0" borderId="1" xfId="71" applyNumberFormat="1" applyFont="1" applyFill="1" applyBorder="1" applyAlignment="1">
      <alignment horizontal="center" vertical="center"/>
    </xf>
    <xf numFmtId="0" fontId="25" fillId="0" borderId="7" xfId="47" applyFont="1" applyFill="1" applyBorder="1" applyAlignment="1">
      <alignment vertical="top" wrapText="1"/>
    </xf>
    <xf numFmtId="0" fontId="25" fillId="0" borderId="3" xfId="47" applyFont="1" applyFill="1" applyBorder="1" applyAlignment="1">
      <alignment horizontal="center" vertical="center" wrapText="1"/>
    </xf>
    <xf numFmtId="0" fontId="25" fillId="0" borderId="3" xfId="47" applyFont="1" applyFill="1" applyBorder="1" applyAlignment="1">
      <alignment horizontal="center" vertical="center"/>
    </xf>
    <xf numFmtId="1" fontId="25" fillId="0" borderId="3" xfId="71" applyNumberFormat="1" applyFont="1" applyFill="1" applyBorder="1" applyAlignment="1">
      <alignment horizontal="center"/>
    </xf>
    <xf numFmtId="4" fontId="28" fillId="0" borderId="8" xfId="71" applyNumberFormat="1" applyFont="1" applyFill="1" applyBorder="1" applyAlignment="1">
      <alignment horizontal="center" vertical="center" wrapText="1"/>
    </xf>
    <xf numFmtId="4" fontId="25" fillId="0" borderId="1" xfId="71" applyNumberFormat="1" applyFont="1" applyFill="1" applyBorder="1" applyAlignment="1">
      <alignment horizontal="center" wrapText="1"/>
    </xf>
    <xf numFmtId="0" fontId="25" fillId="0" borderId="2" xfId="47" applyFont="1" applyBorder="1" applyAlignment="1">
      <alignment horizontal="left" vertical="top" wrapText="1"/>
    </xf>
    <xf numFmtId="4" fontId="25" fillId="0" borderId="1" xfId="0" applyNumberFormat="1" applyFont="1" applyFill="1" applyBorder="1" applyAlignment="1">
      <alignment horizontal="center" wrapText="1"/>
    </xf>
    <xf numFmtId="0" fontId="0" fillId="0" borderId="0" xfId="0" applyFill="1"/>
    <xf numFmtId="0" fontId="2" fillId="0" borderId="0" xfId="0" applyFont="1" applyFill="1" applyAlignment="1">
      <alignment wrapText="1"/>
    </xf>
    <xf numFmtId="0" fontId="22" fillId="0" borderId="1" xfId="0" applyFont="1" applyFill="1" applyBorder="1" applyAlignment="1">
      <alignment vertical="center" wrapText="1"/>
    </xf>
    <xf numFmtId="0" fontId="22" fillId="0" borderId="1" xfId="0" quotePrefix="1" applyFont="1" applyFill="1" applyBorder="1" applyAlignment="1">
      <alignment horizontal="left" wrapText="1"/>
    </xf>
    <xf numFmtId="49" fontId="22" fillId="0" borderId="1" xfId="0" applyNumberFormat="1" applyFont="1" applyFill="1" applyBorder="1" applyAlignment="1">
      <alignment vertical="center" wrapText="1"/>
    </xf>
    <xf numFmtId="49" fontId="22" fillId="0" borderId="1" xfId="0" applyNumberFormat="1" applyFont="1" applyFill="1" applyBorder="1" applyAlignment="1">
      <alignment wrapText="1"/>
    </xf>
    <xf numFmtId="0" fontId="106" fillId="0" borderId="1" xfId="0" applyFont="1" applyFill="1" applyBorder="1" applyAlignment="1">
      <alignment horizontal="left" wrapText="1"/>
    </xf>
    <xf numFmtId="0" fontId="106" fillId="0" borderId="1" xfId="0" applyFont="1" applyFill="1" applyBorder="1" applyAlignment="1">
      <alignment horizontal="center" wrapText="1"/>
    </xf>
    <xf numFmtId="0" fontId="119" fillId="0" borderId="0" xfId="0" applyFont="1" applyFill="1"/>
    <xf numFmtId="0" fontId="22" fillId="0" borderId="16" xfId="47" applyFont="1" applyFill="1" applyBorder="1" applyAlignment="1">
      <alignment horizontal="center" vertical="center"/>
    </xf>
    <xf numFmtId="4" fontId="22" fillId="0" borderId="1" xfId="0" applyNumberFormat="1" applyFont="1" applyFill="1" applyBorder="1" applyAlignment="1">
      <alignment vertical="top"/>
    </xf>
    <xf numFmtId="4" fontId="25" fillId="0" borderId="1" xfId="47" applyNumberFormat="1" applyFont="1" applyBorder="1" applyAlignment="1">
      <alignment horizontal="center" wrapText="1"/>
    </xf>
    <xf numFmtId="0" fontId="22" fillId="0" borderId="1" xfId="0" applyNumberFormat="1" applyFont="1" applyFill="1" applyBorder="1" applyAlignment="1">
      <alignment horizontal="center"/>
    </xf>
    <xf numFmtId="0" fontId="22" fillId="0" borderId="1" xfId="0" applyFont="1" applyFill="1" applyBorder="1" applyAlignment="1">
      <alignment horizontal="center"/>
    </xf>
    <xf numFmtId="49" fontId="120" fillId="0" borderId="1" xfId="0" applyNumberFormat="1" applyFont="1" applyBorder="1" applyAlignment="1">
      <alignment horizontal="center" vertical="center" wrapText="1"/>
    </xf>
    <xf numFmtId="0" fontId="28" fillId="0" borderId="0" xfId="71" applyFont="1" applyFill="1" applyBorder="1" applyAlignment="1">
      <alignment horizontal="center" wrapText="1"/>
    </xf>
    <xf numFmtId="0" fontId="28" fillId="0" borderId="0" xfId="71" applyFont="1" applyFill="1" applyAlignment="1">
      <alignment horizontal="center" wrapText="1"/>
    </xf>
    <xf numFmtId="0" fontId="25" fillId="0" borderId="1" xfId="71" applyFont="1" applyFill="1" applyBorder="1" applyAlignment="1">
      <alignment horizontal="center" vertical="center"/>
    </xf>
    <xf numFmtId="0" fontId="25" fillId="0" borderId="16" xfId="71" applyFont="1" applyFill="1" applyBorder="1" applyAlignment="1">
      <alignment horizontal="center" vertical="center" wrapText="1"/>
    </xf>
    <xf numFmtId="0" fontId="25" fillId="0" borderId="1" xfId="71" applyFont="1" applyFill="1" applyBorder="1" applyAlignment="1">
      <alignment horizontal="center" vertical="center" wrapText="1"/>
    </xf>
    <xf numFmtId="0" fontId="25" fillId="0" borderId="7" xfId="71" applyFont="1" applyFill="1" applyBorder="1" applyAlignment="1">
      <alignment horizontal="center" vertical="center" wrapText="1"/>
    </xf>
    <xf numFmtId="0" fontId="25" fillId="0" borderId="2" xfId="71" applyFont="1" applyFill="1" applyBorder="1" applyAlignment="1">
      <alignment horizontal="center" vertical="center" wrapText="1"/>
    </xf>
    <xf numFmtId="0" fontId="25" fillId="0" borderId="8" xfId="71" applyFont="1" applyFill="1" applyBorder="1" applyAlignment="1">
      <alignment horizontal="center" vertical="center" wrapText="1"/>
    </xf>
    <xf numFmtId="1" fontId="25" fillId="0" borderId="17" xfId="71" applyNumberFormat="1" applyFont="1" applyFill="1" applyBorder="1" applyAlignment="1">
      <alignment horizontal="center"/>
    </xf>
    <xf numFmtId="1" fontId="25" fillId="0" borderId="16" xfId="71" applyNumberFormat="1" applyFont="1" applyFill="1" applyBorder="1" applyAlignment="1">
      <alignment horizontal="center"/>
    </xf>
    <xf numFmtId="1" fontId="5" fillId="0" borderId="0" xfId="71" applyNumberFormat="1" applyFont="1" applyFill="1" applyAlignment="1">
      <alignment vertical="center"/>
    </xf>
    <xf numFmtId="0" fontId="25" fillId="0" borderId="16" xfId="71" applyFont="1" applyFill="1" applyBorder="1" applyAlignment="1">
      <alignment horizontal="center"/>
    </xf>
    <xf numFmtId="0" fontId="28" fillId="0" borderId="4" xfId="71" applyFont="1" applyFill="1" applyBorder="1" applyAlignment="1">
      <alignment wrapText="1"/>
    </xf>
    <xf numFmtId="0" fontId="25" fillId="0" borderId="0" xfId="60" applyFont="1" applyFill="1" applyAlignment="1">
      <alignment horizontal="center"/>
    </xf>
    <xf numFmtId="0" fontId="25" fillId="0" borderId="0" xfId="60" applyFont="1" applyFill="1" applyBorder="1" applyAlignment="1">
      <alignment horizontal="left" wrapText="1"/>
    </xf>
    <xf numFmtId="0" fontId="25" fillId="0" borderId="3" xfId="60" applyFont="1" applyFill="1" applyBorder="1" applyAlignment="1">
      <alignment horizontal="left" wrapText="1"/>
    </xf>
    <xf numFmtId="0" fontId="25" fillId="0" borderId="0" xfId="60" applyFont="1" applyFill="1" applyBorder="1" applyAlignment="1">
      <alignment wrapText="1"/>
    </xf>
    <xf numFmtId="0" fontId="25" fillId="0" borderId="0" xfId="60" applyFont="1" applyFill="1" applyAlignment="1">
      <alignment horizontal="left" wrapText="1"/>
    </xf>
    <xf numFmtId="0" fontId="25" fillId="0" borderId="0" xfId="60" applyFont="1" applyFill="1" applyAlignment="1">
      <alignment horizontal="center" wrapText="1"/>
    </xf>
    <xf numFmtId="0" fontId="25" fillId="0" borderId="0" xfId="60" applyFont="1" applyFill="1" applyAlignment="1">
      <alignment horizontal="center" vertical="top" wrapText="1"/>
    </xf>
    <xf numFmtId="0" fontId="25" fillId="0" borderId="0" xfId="60" applyFont="1" applyFill="1" applyAlignment="1">
      <alignment horizontal="center" vertical="top"/>
    </xf>
    <xf numFmtId="0" fontId="25" fillId="0" borderId="4" xfId="60" applyFont="1" applyFill="1" applyBorder="1" applyAlignment="1">
      <alignment vertical="top" wrapText="1"/>
    </xf>
    <xf numFmtId="0" fontId="25" fillId="0" borderId="4" xfId="60" applyFont="1" applyFill="1" applyBorder="1" applyAlignment="1">
      <alignment horizontal="center" vertical="top" wrapText="1"/>
    </xf>
    <xf numFmtId="0" fontId="25" fillId="0" borderId="0" xfId="60" applyFont="1" applyFill="1" applyBorder="1" applyAlignment="1">
      <alignment horizontal="center" vertical="top" wrapText="1"/>
    </xf>
    <xf numFmtId="0" fontId="25" fillId="0" borderId="0" xfId="47" applyFont="1" applyFill="1" applyAlignment="1">
      <alignment horizontal="left" vertical="center" wrapText="1"/>
    </xf>
    <xf numFmtId="0" fontId="25" fillId="0" borderId="3" xfId="60" applyFont="1" applyFill="1" applyBorder="1" applyAlignment="1">
      <alignment horizontal="left" vertical="top" wrapText="1"/>
    </xf>
    <xf numFmtId="0" fontId="25" fillId="0" borderId="0" xfId="60" applyFont="1" applyFill="1" applyBorder="1" applyAlignment="1">
      <alignment horizontal="left" vertical="top" wrapText="1"/>
    </xf>
    <xf numFmtId="0" fontId="25" fillId="0" borderId="0" xfId="71" applyFont="1" applyFill="1" applyBorder="1"/>
    <xf numFmtId="0" fontId="25" fillId="0" borderId="0" xfId="71" applyFont="1" applyFill="1"/>
    <xf numFmtId="0" fontId="5" fillId="0" borderId="0" xfId="83" applyFont="1" applyFill="1" applyAlignment="1"/>
    <xf numFmtId="0" fontId="5" fillId="0" borderId="0" xfId="72" applyFont="1" applyFill="1"/>
    <xf numFmtId="0" fontId="5" fillId="0" borderId="0" xfId="71" applyFont="1" applyFill="1" applyAlignment="1">
      <alignment vertical="center"/>
    </xf>
    <xf numFmtId="0" fontId="5" fillId="0" borderId="0" xfId="71" applyFont="1" applyFill="1"/>
    <xf numFmtId="0" fontId="25" fillId="0" borderId="4" xfId="46" applyFont="1" applyFill="1" applyBorder="1" applyAlignment="1">
      <alignment vertical="top" wrapText="1"/>
    </xf>
    <xf numFmtId="4" fontId="28" fillId="0" borderId="1" xfId="85" applyNumberFormat="1" applyFont="1" applyFill="1" applyBorder="1" applyAlignment="1">
      <alignment horizontal="center" vertical="justify" wrapText="1" shrinkToFit="1"/>
    </xf>
    <xf numFmtId="4" fontId="25" fillId="0" borderId="1" xfId="85" applyNumberFormat="1" applyFont="1" applyFill="1" applyBorder="1" applyAlignment="1">
      <alignment horizontal="center" wrapText="1" shrinkToFit="1"/>
    </xf>
    <xf numFmtId="4" fontId="25" fillId="0" borderId="1" xfId="47" applyNumberFormat="1" applyFont="1" applyBorder="1" applyAlignment="1">
      <alignment horizontal="center"/>
    </xf>
    <xf numFmtId="4" fontId="28" fillId="0" borderId="1" xfId="0" applyNumberFormat="1" applyFont="1" applyFill="1" applyBorder="1" applyAlignment="1">
      <alignment horizontal="center" wrapText="1"/>
    </xf>
    <xf numFmtId="0" fontId="27" fillId="0" borderId="0" xfId="47" applyFont="1" applyFill="1" applyAlignment="1">
      <alignment horizontal="center" vertical="top" wrapText="1"/>
    </xf>
    <xf numFmtId="0" fontId="28" fillId="0" borderId="0" xfId="47" applyFont="1" applyFill="1" applyAlignment="1">
      <alignment horizontal="center" vertical="top" wrapText="1"/>
    </xf>
    <xf numFmtId="0" fontId="25" fillId="0" borderId="0" xfId="47" applyFont="1" applyFill="1" applyAlignment="1">
      <alignment horizontal="center" vertical="top" wrapText="1"/>
    </xf>
    <xf numFmtId="0" fontId="28" fillId="0" borderId="7" xfId="47" applyFont="1" applyFill="1" applyBorder="1" applyAlignment="1">
      <alignment horizontal="left" vertical="center" wrapText="1"/>
    </xf>
    <xf numFmtId="4" fontId="28" fillId="0" borderId="2" xfId="47" applyNumberFormat="1" applyFont="1" applyFill="1" applyBorder="1" applyAlignment="1">
      <alignment horizontal="center" vertical="center" wrapText="1"/>
    </xf>
    <xf numFmtId="0" fontId="25" fillId="0" borderId="1" xfId="47" applyFont="1" applyFill="1" applyBorder="1" applyAlignment="1">
      <alignment horizontal="left" vertical="center" wrapText="1"/>
    </xf>
    <xf numFmtId="0" fontId="25" fillId="0" borderId="1" xfId="47" applyFont="1" applyFill="1" applyBorder="1" applyAlignment="1">
      <alignment horizontal="left" vertical="center" wrapText="1" indent="1"/>
    </xf>
    <xf numFmtId="0" fontId="49" fillId="0" borderId="20" xfId="0" applyFont="1" applyFill="1" applyBorder="1" applyAlignment="1">
      <alignment wrapText="1"/>
    </xf>
    <xf numFmtId="0" fontId="22" fillId="0" borderId="1" xfId="47" applyFont="1" applyFill="1" applyBorder="1" applyAlignment="1">
      <alignment horizontal="left" vertical="center" wrapText="1"/>
    </xf>
    <xf numFmtId="0" fontId="28" fillId="0" borderId="1" xfId="47" applyFont="1" applyFill="1" applyBorder="1" applyAlignment="1">
      <alignment horizontal="left" vertical="center" wrapText="1"/>
    </xf>
    <xf numFmtId="4" fontId="28" fillId="0" borderId="1" xfId="47" applyNumberFormat="1" applyFont="1" applyFill="1" applyBorder="1" applyAlignment="1">
      <alignment horizontal="center" vertical="center" wrapText="1"/>
    </xf>
    <xf numFmtId="0" fontId="25" fillId="0" borderId="1" xfId="47" applyFont="1" applyFill="1" applyBorder="1" applyAlignment="1">
      <alignment vertical="center" wrapText="1"/>
    </xf>
    <xf numFmtId="0" fontId="25" fillId="0" borderId="16" xfId="47" applyFont="1" applyFill="1" applyBorder="1" applyAlignment="1">
      <alignment horizontal="left" vertical="center" wrapText="1"/>
    </xf>
    <xf numFmtId="0" fontId="25" fillId="0" borderId="15" xfId="47" applyFont="1" applyFill="1" applyBorder="1" applyAlignment="1">
      <alignment vertical="center" wrapText="1"/>
    </xf>
    <xf numFmtId="0" fontId="25" fillId="0" borderId="20" xfId="47" applyFont="1" applyFill="1" applyBorder="1" applyAlignment="1">
      <alignment vertical="center" wrapText="1"/>
    </xf>
    <xf numFmtId="0" fontId="25" fillId="0" borderId="1" xfId="46" applyFont="1" applyFill="1" applyBorder="1" applyAlignment="1">
      <alignment horizontal="center" wrapText="1"/>
    </xf>
    <xf numFmtId="0" fontId="23" fillId="0" borderId="0" xfId="0" applyFont="1"/>
    <xf numFmtId="4" fontId="22" fillId="0" borderId="1" xfId="0" applyNumberFormat="1" applyFont="1" applyBorder="1" applyAlignment="1">
      <alignment horizontal="center" vertical="center"/>
    </xf>
    <xf numFmtId="2" fontId="25" fillId="5" borderId="1" xfId="47" applyNumberFormat="1" applyFont="1" applyFill="1" applyBorder="1" applyAlignment="1">
      <alignment horizontal="center" wrapText="1"/>
    </xf>
    <xf numFmtId="0" fontId="4" fillId="0" borderId="15" xfId="0" applyFont="1" applyFill="1" applyBorder="1" applyAlignment="1">
      <alignment vertical="center" wrapText="1"/>
    </xf>
    <xf numFmtId="0" fontId="4" fillId="0" borderId="15" xfId="0" applyFont="1" applyFill="1" applyBorder="1" applyAlignment="1">
      <alignment horizontal="center" vertical="center" wrapText="1"/>
    </xf>
    <xf numFmtId="0" fontId="25" fillId="2" borderId="15" xfId="47" applyFont="1" applyFill="1" applyBorder="1" applyAlignment="1">
      <alignment horizontal="center" vertical="center" wrapText="1"/>
    </xf>
    <xf numFmtId="0" fontId="25" fillId="2" borderId="20" xfId="47" applyFont="1" applyFill="1" applyBorder="1" applyAlignment="1">
      <alignment horizontal="center" vertical="center" wrapText="1"/>
    </xf>
    <xf numFmtId="2" fontId="25" fillId="2" borderId="15" xfId="47" applyNumberFormat="1" applyFont="1" applyFill="1" applyBorder="1" applyAlignment="1">
      <alignment horizontal="center" vertical="center" wrapText="1"/>
    </xf>
    <xf numFmtId="4" fontId="25" fillId="2" borderId="20" xfId="47" applyNumberFormat="1" applyFont="1" applyFill="1" applyBorder="1" applyAlignment="1">
      <alignment horizontal="center" vertical="center" wrapText="1"/>
    </xf>
    <xf numFmtId="4" fontId="25" fillId="2" borderId="1" xfId="47" applyNumberFormat="1" applyFont="1" applyFill="1" applyBorder="1" applyAlignment="1">
      <alignment horizontal="center" vertical="center" wrapText="1"/>
    </xf>
    <xf numFmtId="4" fontId="18" fillId="0" borderId="25" xfId="0" applyNumberFormat="1" applyFont="1" applyFill="1" applyBorder="1" applyAlignment="1">
      <alignment horizontal="center"/>
    </xf>
    <xf numFmtId="3" fontId="25" fillId="0" borderId="1" xfId="69" applyNumberFormat="1" applyFont="1" applyFill="1" applyBorder="1" applyAlignment="1">
      <alignment horizontal="center" vertical="center" wrapText="1"/>
    </xf>
    <xf numFmtId="0" fontId="5" fillId="0" borderId="1" xfId="47" applyFont="1" applyBorder="1" applyAlignment="1">
      <alignment vertical="center"/>
    </xf>
    <xf numFmtId="4" fontId="18" fillId="0" borderId="1" xfId="0" applyNumberFormat="1" applyFont="1" applyFill="1" applyBorder="1" applyAlignment="1">
      <alignment horizontal="center"/>
    </xf>
    <xf numFmtId="0" fontId="120" fillId="0" borderId="0" xfId="0" applyFont="1"/>
    <xf numFmtId="0" fontId="120" fillId="0" borderId="0" xfId="0" applyFont="1" applyAlignment="1">
      <alignment horizontal="right"/>
    </xf>
    <xf numFmtId="0" fontId="121" fillId="0" borderId="0" xfId="0" applyFont="1"/>
    <xf numFmtId="0" fontId="120" fillId="0" borderId="1" xfId="0" applyFont="1" applyBorder="1" applyAlignment="1">
      <alignment horizontal="center" vertical="center" wrapText="1"/>
    </xf>
    <xf numFmtId="0" fontId="120" fillId="0" borderId="1" xfId="0" applyFont="1" applyBorder="1" applyAlignment="1">
      <alignment horizontal="center" wrapText="1"/>
    </xf>
    <xf numFmtId="0" fontId="120" fillId="0" borderId="1" xfId="0" applyFont="1" applyBorder="1" applyAlignment="1">
      <alignment horizontal="left" wrapText="1"/>
    </xf>
    <xf numFmtId="4" fontId="120" fillId="0" borderId="1" xfId="0" applyNumberFormat="1" applyFont="1" applyBorder="1" applyAlignment="1">
      <alignment horizontal="center" wrapText="1"/>
    </xf>
    <xf numFmtId="0" fontId="120" fillId="0" borderId="15" xfId="0" applyFont="1" applyBorder="1" applyAlignment="1">
      <alignment horizontal="center"/>
    </xf>
    <xf numFmtId="0" fontId="120" fillId="0" borderId="15" xfId="0" applyFont="1" applyBorder="1" applyAlignment="1">
      <alignment wrapText="1"/>
    </xf>
    <xf numFmtId="4" fontId="120" fillId="0" borderId="15" xfId="0" applyNumberFormat="1" applyFont="1" applyFill="1" applyBorder="1"/>
    <xf numFmtId="0" fontId="120" fillId="0" borderId="20" xfId="0" applyFont="1" applyBorder="1" applyAlignment="1">
      <alignment horizontal="center"/>
    </xf>
    <xf numFmtId="0" fontId="120" fillId="0" borderId="20" xfId="0" applyFont="1" applyBorder="1" applyAlignment="1">
      <alignment wrapText="1"/>
    </xf>
    <xf numFmtId="4" fontId="120" fillId="0" borderId="15" xfId="0" applyNumberFormat="1" applyFont="1" applyBorder="1" applyAlignment="1">
      <alignment horizontal="center" wrapText="1"/>
    </xf>
    <xf numFmtId="4" fontId="120" fillId="0" borderId="20" xfId="0" applyNumberFormat="1" applyFont="1" applyFill="1" applyBorder="1"/>
    <xf numFmtId="4" fontId="123" fillId="0" borderId="2" xfId="0" applyNumberFormat="1" applyFont="1" applyBorder="1" applyAlignment="1">
      <alignment horizontal="center" wrapText="1"/>
    </xf>
    <xf numFmtId="0" fontId="120" fillId="0" borderId="2" xfId="0" applyFont="1" applyBorder="1" applyAlignment="1">
      <alignment horizontal="center"/>
    </xf>
    <xf numFmtId="0" fontId="120" fillId="0" borderId="2" xfId="0" applyFont="1" applyBorder="1" applyAlignment="1">
      <alignment wrapText="1"/>
    </xf>
    <xf numFmtId="4" fontId="120" fillId="0" borderId="2" xfId="0" applyNumberFormat="1" applyFont="1" applyFill="1" applyBorder="1"/>
    <xf numFmtId="0" fontId="120" fillId="0" borderId="1" xfId="0" applyFont="1" applyBorder="1" applyAlignment="1">
      <alignment horizontal="center"/>
    </xf>
    <xf numFmtId="0" fontId="120" fillId="0" borderId="1" xfId="0" applyFont="1" applyBorder="1" applyAlignment="1">
      <alignment wrapText="1"/>
    </xf>
    <xf numFmtId="4" fontId="120" fillId="0" borderId="1" xfId="0" applyNumberFormat="1" applyFont="1" applyFill="1" applyBorder="1"/>
    <xf numFmtId="4" fontId="120" fillId="0" borderId="1" xfId="0" applyNumberFormat="1" applyFont="1" applyBorder="1" applyAlignment="1">
      <alignment horizontal="center"/>
    </xf>
    <xf numFmtId="49" fontId="120" fillId="0" borderId="15" xfId="0" applyNumberFormat="1" applyFont="1" applyBorder="1" applyAlignment="1">
      <alignment horizontal="center"/>
    </xf>
    <xf numFmtId="4" fontId="120" fillId="0" borderId="15" xfId="0" applyNumberFormat="1" applyFont="1" applyBorder="1" applyAlignment="1">
      <alignment horizontal="center"/>
    </xf>
    <xf numFmtId="0" fontId="120" fillId="0" borderId="1" xfId="0" applyFont="1" applyFill="1" applyBorder="1"/>
    <xf numFmtId="4" fontId="122" fillId="0" borderId="1" xfId="0" applyNumberFormat="1" applyFont="1" applyFill="1" applyBorder="1" applyAlignment="1">
      <alignment horizontal="right"/>
    </xf>
    <xf numFmtId="4" fontId="122" fillId="0" borderId="1" xfId="0" applyNumberFormat="1" applyFont="1" applyFill="1" applyBorder="1"/>
    <xf numFmtId="4" fontId="120" fillId="0" borderId="20" xfId="0" applyNumberFormat="1" applyFont="1" applyBorder="1" applyAlignment="1">
      <alignment horizontal="center" wrapText="1"/>
    </xf>
    <xf numFmtId="49" fontId="22" fillId="0" borderId="1" xfId="0" applyNumberFormat="1" applyFont="1" applyBorder="1" applyAlignment="1">
      <alignment horizontal="center" vertical="center" wrapText="1"/>
    </xf>
    <xf numFmtId="0" fontId="120" fillId="0" borderId="0" xfId="0" applyFont="1" applyAlignment="1">
      <alignment wrapText="1"/>
    </xf>
    <xf numFmtId="0" fontId="23" fillId="0" borderId="0" xfId="0" applyFont="1" applyAlignment="1"/>
    <xf numFmtId="0" fontId="25" fillId="0" borderId="15" xfId="47" applyFont="1" applyFill="1" applyBorder="1" applyAlignment="1">
      <alignment horizontal="center" vertical="center" wrapText="1"/>
    </xf>
    <xf numFmtId="0" fontId="25" fillId="0" borderId="2" xfId="47" applyFont="1" applyFill="1" applyBorder="1" applyAlignment="1">
      <alignment horizontal="center" vertical="center" wrapText="1"/>
    </xf>
    <xf numFmtId="0" fontId="25" fillId="0" borderId="2" xfId="47" applyFont="1" applyFill="1" applyBorder="1" applyAlignment="1">
      <alignment horizontal="center" vertical="center"/>
    </xf>
    <xf numFmtId="0" fontId="25" fillId="0" borderId="26" xfId="47" applyFont="1" applyFill="1" applyBorder="1" applyAlignment="1">
      <alignment horizontal="left" vertical="top" wrapText="1"/>
    </xf>
    <xf numFmtId="14" fontId="25" fillId="0" borderId="1" xfId="47" applyNumberFormat="1" applyFont="1" applyFill="1" applyBorder="1" applyAlignment="1">
      <alignment vertical="top" wrapText="1"/>
    </xf>
    <xf numFmtId="0" fontId="149" fillId="0" borderId="0" xfId="68"/>
    <xf numFmtId="0" fontId="125" fillId="0" borderId="0" xfId="68" applyFont="1" applyAlignment="1">
      <alignment wrapText="1"/>
    </xf>
    <xf numFmtId="0" fontId="125" fillId="0" borderId="0" xfId="68" applyFont="1" applyAlignment="1">
      <alignment horizontal="center" wrapText="1"/>
    </xf>
    <xf numFmtId="0" fontId="149" fillId="0" borderId="27" xfId="68" applyBorder="1" applyAlignment="1">
      <alignment horizontal="center" wrapText="1"/>
    </xf>
    <xf numFmtId="0" fontId="125" fillId="0" borderId="27" xfId="68" applyFont="1" applyBorder="1" applyAlignment="1">
      <alignment horizontal="center" wrapText="1"/>
    </xf>
    <xf numFmtId="0" fontId="125" fillId="0" borderId="28" xfId="68" applyFont="1" applyBorder="1" applyAlignment="1">
      <alignment horizontal="center" wrapText="1"/>
    </xf>
    <xf numFmtId="0" fontId="149" fillId="0" borderId="0" xfId="68" applyAlignment="1">
      <alignment wrapText="1"/>
    </xf>
    <xf numFmtId="0" fontId="126" fillId="0" borderId="0" xfId="68" applyFont="1" applyAlignment="1">
      <alignment horizontal="center" wrapText="1"/>
    </xf>
    <xf numFmtId="0" fontId="149" fillId="0" borderId="0" xfId="68" applyAlignment="1">
      <alignment horizontal="left" wrapText="1"/>
    </xf>
    <xf numFmtId="0" fontId="125" fillId="0" borderId="29" xfId="68" applyFont="1" applyBorder="1" applyAlignment="1">
      <alignment horizontal="center" wrapText="1"/>
    </xf>
    <xf numFmtId="0" fontId="125" fillId="0" borderId="0" xfId="68" applyFont="1" applyAlignment="1">
      <alignment horizontal="left" wrapText="1"/>
    </xf>
    <xf numFmtId="14" fontId="125" fillId="0" borderId="30" xfId="68" applyNumberFormat="1" applyFont="1" applyBorder="1" applyAlignment="1">
      <alignment horizontal="center" wrapText="1"/>
    </xf>
    <xf numFmtId="0" fontId="125" fillId="0" borderId="0" xfId="68" applyFont="1" applyAlignment="1">
      <alignment horizontal="left" vertical="top" wrapText="1"/>
    </xf>
    <xf numFmtId="0" fontId="125" fillId="0" borderId="30" xfId="68" applyFont="1" applyBorder="1" applyAlignment="1">
      <alignment horizontal="center" wrapText="1"/>
    </xf>
    <xf numFmtId="0" fontId="149" fillId="0" borderId="27" xfId="68" applyBorder="1" applyAlignment="1">
      <alignment wrapText="1"/>
    </xf>
    <xf numFmtId="0" fontId="125" fillId="0" borderId="27" xfId="68" applyFont="1" applyBorder="1" applyAlignment="1">
      <alignment wrapText="1"/>
    </xf>
    <xf numFmtId="0" fontId="128" fillId="0" borderId="31" xfId="68" applyFont="1" applyBorder="1" applyAlignment="1">
      <alignment horizontal="center" vertical="center" wrapText="1"/>
    </xf>
    <xf numFmtId="0" fontId="129" fillId="0" borderId="32" xfId="68" applyFont="1" applyBorder="1" applyAlignment="1">
      <alignment horizontal="center" wrapText="1"/>
    </xf>
    <xf numFmtId="0" fontId="129" fillId="0" borderId="31" xfId="68" applyFont="1" applyBorder="1" applyAlignment="1">
      <alignment horizontal="center" wrapText="1"/>
    </xf>
    <xf numFmtId="0" fontId="129" fillId="0" borderId="33" xfId="68" applyFont="1" applyBorder="1" applyAlignment="1">
      <alignment horizontal="center" wrapText="1"/>
    </xf>
    <xf numFmtId="0" fontId="128" fillId="0" borderId="34" xfId="68" applyFont="1" applyBorder="1" applyAlignment="1">
      <alignment horizontal="center" vertical="center" wrapText="1"/>
    </xf>
    <xf numFmtId="0" fontId="128" fillId="0" borderId="35" xfId="68" applyFont="1" applyBorder="1" applyAlignment="1">
      <alignment horizontal="center" vertical="center" wrapText="1"/>
    </xf>
    <xf numFmtId="0" fontId="129" fillId="0" borderId="31" xfId="68" applyNumberFormat="1" applyFont="1" applyBorder="1" applyAlignment="1">
      <alignment horizontal="center" wrapText="1"/>
    </xf>
    <xf numFmtId="0" fontId="23" fillId="0" borderId="0" xfId="0" applyFont="1" applyFill="1" applyAlignment="1">
      <alignment horizontal="center"/>
    </xf>
    <xf numFmtId="0" fontId="75" fillId="0" borderId="0" xfId="49" applyFont="1" applyFill="1" applyAlignment="1">
      <alignment horizontal="left" wrapText="1"/>
    </xf>
    <xf numFmtId="0" fontId="130" fillId="0" borderId="0" xfId="0" applyFont="1"/>
    <xf numFmtId="0" fontId="130" fillId="0" borderId="0" xfId="0" applyFont="1" applyAlignment="1">
      <alignment horizontal="right"/>
    </xf>
    <xf numFmtId="0" fontId="131" fillId="0" borderId="0" xfId="0" applyFont="1"/>
    <xf numFmtId="0" fontId="130" fillId="0" borderId="1" xfId="0" applyFont="1" applyBorder="1" applyAlignment="1">
      <alignment horizontal="center" vertical="center" wrapText="1"/>
    </xf>
    <xf numFmtId="0" fontId="130" fillId="0" borderId="1" xfId="0" applyFont="1" applyBorder="1" applyAlignment="1">
      <alignment horizontal="center" wrapText="1"/>
    </xf>
    <xf numFmtId="0" fontId="130" fillId="0" borderId="1" xfId="0" applyFont="1" applyBorder="1" applyAlignment="1">
      <alignment horizontal="left" wrapText="1"/>
    </xf>
    <xf numFmtId="4" fontId="130" fillId="0" borderId="1" xfId="0" applyNumberFormat="1" applyFont="1" applyBorder="1" applyAlignment="1">
      <alignment horizontal="center"/>
    </xf>
    <xf numFmtId="0" fontId="132" fillId="0" borderId="0" xfId="0" applyFont="1"/>
    <xf numFmtId="49" fontId="130" fillId="0" borderId="1" xfId="0" applyNumberFormat="1" applyFont="1" applyBorder="1" applyAlignment="1">
      <alignment horizontal="left" wrapText="1"/>
    </xf>
    <xf numFmtId="49" fontId="130" fillId="0" borderId="1" xfId="0" applyNumberFormat="1" applyFont="1" applyBorder="1" applyAlignment="1">
      <alignment horizontal="center" wrapText="1"/>
    </xf>
    <xf numFmtId="49" fontId="22" fillId="0" borderId="1" xfId="0" applyNumberFormat="1" applyFont="1" applyFill="1" applyBorder="1" applyAlignment="1">
      <alignment horizontal="center" vertical="center" wrapText="1"/>
    </xf>
    <xf numFmtId="0" fontId="28" fillId="0" borderId="0" xfId="0" applyFont="1" applyAlignment="1">
      <alignment horizontal="center"/>
    </xf>
    <xf numFmtId="4" fontId="25" fillId="7" borderId="1" xfId="47" applyNumberFormat="1" applyFont="1" applyFill="1" applyBorder="1" applyAlignment="1">
      <alignment horizontal="center" vertical="center" wrapText="1"/>
    </xf>
    <xf numFmtId="0" fontId="25" fillId="7" borderId="1" xfId="0" applyFont="1" applyFill="1" applyBorder="1" applyAlignment="1">
      <alignment horizontal="center" wrapText="1" shrinkToFit="1"/>
    </xf>
    <xf numFmtId="0" fontId="130" fillId="0" borderId="15" xfId="0" applyFont="1" applyBorder="1" applyAlignment="1">
      <alignment horizontal="left" wrapText="1"/>
    </xf>
    <xf numFmtId="49" fontId="130" fillId="0" borderId="15" xfId="0" applyNumberFormat="1" applyFont="1" applyBorder="1" applyAlignment="1">
      <alignment horizontal="center" wrapText="1"/>
    </xf>
    <xf numFmtId="0" fontId="130" fillId="0" borderId="15" xfId="0" applyFont="1" applyBorder="1" applyAlignment="1">
      <alignment horizontal="center" wrapText="1"/>
    </xf>
    <xf numFmtId="4" fontId="130" fillId="0" borderId="15" xfId="0" applyNumberFormat="1" applyFont="1" applyBorder="1" applyAlignment="1">
      <alignment horizontal="center"/>
    </xf>
    <xf numFmtId="0" fontId="133" fillId="0" borderId="20" xfId="0" applyFont="1" applyBorder="1" applyAlignment="1">
      <alignment horizontal="left" vertical="top" wrapText="1"/>
    </xf>
    <xf numFmtId="49" fontId="133" fillId="0" borderId="20" xfId="0" applyNumberFormat="1" applyFont="1" applyBorder="1" applyAlignment="1">
      <alignment horizontal="center" wrapText="1"/>
    </xf>
    <xf numFmtId="0" fontId="133" fillId="0" borderId="20" xfId="0" applyFont="1" applyBorder="1" applyAlignment="1">
      <alignment horizontal="center" wrapText="1"/>
    </xf>
    <xf numFmtId="4" fontId="133" fillId="0" borderId="20" xfId="0" applyNumberFormat="1" applyFont="1" applyBorder="1" applyAlignment="1">
      <alignment horizontal="center"/>
    </xf>
    <xf numFmtId="0" fontId="133" fillId="0" borderId="2" xfId="0" applyFont="1" applyBorder="1" applyAlignment="1">
      <alignment horizontal="left" vertical="top" wrapText="1"/>
    </xf>
    <xf numFmtId="49" fontId="133" fillId="0" borderId="2" xfId="0" applyNumberFormat="1" applyFont="1" applyBorder="1" applyAlignment="1">
      <alignment horizontal="center" wrapText="1"/>
    </xf>
    <xf numFmtId="0" fontId="133" fillId="0" borderId="2" xfId="0" applyFont="1" applyBorder="1" applyAlignment="1">
      <alignment horizontal="center" wrapText="1"/>
    </xf>
    <xf numFmtId="4" fontId="133" fillId="0" borderId="2" xfId="0" applyNumberFormat="1" applyFont="1" applyBorder="1" applyAlignment="1">
      <alignment horizontal="center"/>
    </xf>
    <xf numFmtId="49" fontId="130" fillId="0" borderId="2" xfId="0" applyNumberFormat="1" applyFont="1" applyBorder="1" applyAlignment="1">
      <alignment horizontal="center" wrapText="1"/>
    </xf>
    <xf numFmtId="0" fontId="130" fillId="0" borderId="2" xfId="0" applyFont="1" applyBorder="1" applyAlignment="1">
      <alignment horizontal="center" wrapText="1"/>
    </xf>
    <xf numFmtId="0" fontId="133" fillId="0" borderId="15" xfId="0" applyFont="1" applyBorder="1" applyAlignment="1">
      <alignment vertical="top" wrapText="1"/>
    </xf>
    <xf numFmtId="4" fontId="133" fillId="0" borderId="1" xfId="0" applyNumberFormat="1" applyFont="1" applyBorder="1" applyAlignment="1">
      <alignment horizontal="center"/>
    </xf>
    <xf numFmtId="0" fontId="133" fillId="0" borderId="1" xfId="0" applyFont="1" applyBorder="1" applyAlignment="1">
      <alignment vertical="top" wrapText="1"/>
    </xf>
    <xf numFmtId="0" fontId="133" fillId="0" borderId="2" xfId="0" applyFont="1" applyBorder="1" applyAlignment="1">
      <alignment vertical="top" wrapText="1"/>
    </xf>
    <xf numFmtId="4" fontId="131" fillId="0" borderId="0" xfId="0" applyNumberFormat="1" applyFont="1"/>
    <xf numFmtId="49" fontId="130" fillId="0" borderId="2" xfId="0" applyNumberFormat="1" applyFont="1" applyBorder="1" applyAlignment="1">
      <alignment horizontal="center" vertical="top" wrapText="1"/>
    </xf>
    <xf numFmtId="0" fontId="130" fillId="0" borderId="2" xfId="0" applyFont="1" applyBorder="1" applyAlignment="1">
      <alignment horizontal="center" vertical="top" wrapText="1"/>
    </xf>
    <xf numFmtId="4" fontId="133" fillId="0" borderId="2" xfId="0" applyNumberFormat="1" applyFont="1" applyBorder="1" applyAlignment="1">
      <alignment horizontal="center" vertical="top"/>
    </xf>
    <xf numFmtId="49" fontId="25" fillId="0" borderId="15" xfId="47" applyNumberFormat="1" applyFont="1" applyFill="1" applyBorder="1" applyAlignment="1">
      <alignment horizontal="center" vertical="center" wrapText="1"/>
    </xf>
    <xf numFmtId="49" fontId="25" fillId="0" borderId="20" xfId="47" applyNumberFormat="1" applyFont="1" applyFill="1" applyBorder="1" applyAlignment="1">
      <alignment horizontal="center" vertical="center" wrapText="1"/>
    </xf>
    <xf numFmtId="49" fontId="25" fillId="0" borderId="2" xfId="47" applyNumberFormat="1" applyFont="1" applyFill="1" applyBorder="1" applyAlignment="1">
      <alignment horizontal="center" vertical="center" wrapText="1"/>
    </xf>
    <xf numFmtId="49" fontId="25" fillId="0" borderId="0" xfId="47" applyNumberFormat="1" applyFont="1" applyFill="1" applyBorder="1" applyAlignment="1">
      <alignment horizontal="left" wrapText="1"/>
    </xf>
    <xf numFmtId="0" fontId="25" fillId="0" borderId="0" xfId="0" applyFont="1" applyFill="1" applyAlignment="1">
      <alignment horizontal="left" vertical="top" wrapText="1"/>
    </xf>
    <xf numFmtId="49" fontId="28" fillId="0" borderId="16" xfId="47" applyNumberFormat="1" applyFont="1" applyFill="1" applyBorder="1" applyAlignment="1">
      <alignment horizontal="right" vertical="top"/>
    </xf>
    <xf numFmtId="49" fontId="28" fillId="0" borderId="26" xfId="47" applyNumberFormat="1" applyFont="1" applyFill="1" applyBorder="1" applyAlignment="1">
      <alignment horizontal="right" vertical="top"/>
    </xf>
    <xf numFmtId="49" fontId="28" fillId="0" borderId="17" xfId="47" applyNumberFormat="1" applyFont="1" applyFill="1" applyBorder="1" applyAlignment="1">
      <alignment horizontal="right" vertical="top"/>
    </xf>
    <xf numFmtId="49" fontId="28" fillId="0" borderId="0" xfId="47" applyNumberFormat="1" applyFont="1" applyFill="1" applyAlignment="1">
      <alignment horizontal="center"/>
    </xf>
    <xf numFmtId="0" fontId="23" fillId="0" borderId="0" xfId="0" applyFont="1" applyFill="1" applyAlignment="1">
      <alignment horizontal="center"/>
    </xf>
    <xf numFmtId="0" fontId="22" fillId="0" borderId="0" xfId="0" applyFont="1" applyAlignment="1">
      <alignment horizontal="center"/>
    </xf>
    <xf numFmtId="0" fontId="25" fillId="0" borderId="0" xfId="47" applyFont="1" applyAlignment="1">
      <alignment horizontal="left" vertical="top" wrapText="1"/>
    </xf>
    <xf numFmtId="0" fontId="50" fillId="0" borderId="0" xfId="0" applyFont="1" applyAlignment="1">
      <alignment horizontal="center"/>
    </xf>
    <xf numFmtId="0" fontId="23" fillId="0" borderId="3" xfId="0" applyFont="1" applyBorder="1" applyAlignment="1">
      <alignment horizontal="center"/>
    </xf>
    <xf numFmtId="0" fontId="25" fillId="0" borderId="0" xfId="47" applyFont="1" applyAlignment="1">
      <alignment horizontal="left" vertical="center" wrapText="1"/>
    </xf>
    <xf numFmtId="0" fontId="25" fillId="0" borderId="0" xfId="47" applyFont="1" applyAlignment="1">
      <alignment horizontal="center" vertical="top" wrapText="1"/>
    </xf>
    <xf numFmtId="0" fontId="25" fillId="0" borderId="0" xfId="47" applyFont="1" applyBorder="1" applyAlignment="1">
      <alignment horizontal="center" vertical="top" wrapText="1"/>
    </xf>
    <xf numFmtId="0" fontId="28" fillId="0" borderId="3" xfId="47" applyFont="1" applyBorder="1" applyAlignment="1">
      <alignment horizontal="center" vertical="top" wrapText="1"/>
    </xf>
    <xf numFmtId="0" fontId="24" fillId="0" borderId="0" xfId="47" applyFont="1" applyAlignment="1">
      <alignment horizontal="left" vertical="top" wrapText="1"/>
    </xf>
    <xf numFmtId="0" fontId="24" fillId="0" borderId="0" xfId="47" applyFont="1" applyAlignment="1">
      <alignment horizontal="center" vertical="top" wrapText="1"/>
    </xf>
    <xf numFmtId="0" fontId="25" fillId="0" borderId="0" xfId="47" applyFont="1" applyFill="1" applyAlignment="1">
      <alignment horizontal="left" vertical="top" wrapText="1"/>
    </xf>
    <xf numFmtId="0" fontId="25" fillId="0" borderId="4" xfId="47" applyFont="1" applyBorder="1" applyAlignment="1">
      <alignment horizontal="center" vertical="top" wrapText="1"/>
    </xf>
    <xf numFmtId="0" fontId="55" fillId="0" borderId="0" xfId="47" applyFont="1" applyFill="1" applyAlignment="1">
      <alignment horizontal="center" vertical="top" wrapText="1"/>
    </xf>
    <xf numFmtId="0" fontId="28" fillId="0" borderId="0" xfId="47" applyFont="1" applyAlignment="1">
      <alignment horizontal="center" vertical="top" wrapText="1"/>
    </xf>
    <xf numFmtId="0" fontId="28" fillId="0" borderId="0" xfId="47" applyFont="1" applyFill="1" applyAlignment="1">
      <alignment horizontal="center" vertical="top" wrapText="1"/>
    </xf>
    <xf numFmtId="0" fontId="28" fillId="0" borderId="3" xfId="47" applyFont="1" applyBorder="1" applyAlignment="1">
      <alignment horizontal="center" wrapText="1"/>
    </xf>
    <xf numFmtId="0" fontId="25" fillId="0" borderId="0" xfId="47" applyFont="1" applyAlignment="1">
      <alignment horizontal="left" wrapText="1"/>
    </xf>
    <xf numFmtId="0" fontId="27" fillId="0" borderId="0" xfId="47" applyFont="1" applyAlignment="1">
      <alignment horizontal="center" vertical="top" wrapText="1"/>
    </xf>
    <xf numFmtId="0" fontId="25" fillId="0" borderId="0" xfId="47" applyFont="1" applyBorder="1" applyAlignment="1">
      <alignment horizontal="left" wrapText="1"/>
    </xf>
    <xf numFmtId="0" fontId="25" fillId="0" borderId="3" xfId="47" applyFont="1" applyBorder="1" applyAlignment="1">
      <alignment horizontal="center" vertical="top" wrapText="1"/>
    </xf>
    <xf numFmtId="0" fontId="25" fillId="0" borderId="26" xfId="47" applyFont="1" applyBorder="1" applyAlignment="1">
      <alignment horizontal="center" vertical="top" wrapText="1"/>
    </xf>
    <xf numFmtId="0" fontId="26" fillId="0" borderId="3" xfId="47" applyFont="1" applyBorder="1" applyAlignment="1">
      <alignment horizontal="center" vertical="top" wrapText="1"/>
    </xf>
    <xf numFmtId="0" fontId="28" fillId="0" borderId="0" xfId="47" applyFont="1" applyAlignment="1">
      <alignment horizontal="left" vertical="top" wrapText="1"/>
    </xf>
    <xf numFmtId="0" fontId="25" fillId="0" borderId="0" xfId="47" applyFont="1" applyBorder="1" applyAlignment="1">
      <alignment horizontal="left" vertical="top" wrapText="1"/>
    </xf>
    <xf numFmtId="0" fontId="28" fillId="0" borderId="0" xfId="47" applyFont="1" applyBorder="1" applyAlignment="1">
      <alignment horizontal="center" vertical="top" wrapText="1"/>
    </xf>
    <xf numFmtId="0" fontId="22" fillId="0" borderId="0" xfId="47" applyFont="1" applyBorder="1" applyAlignment="1">
      <alignment horizontal="left" vertical="top" wrapText="1"/>
    </xf>
    <xf numFmtId="0" fontId="25" fillId="0" borderId="0" xfId="47" applyFont="1" applyAlignment="1">
      <alignment horizontal="right" vertical="top" wrapText="1"/>
    </xf>
    <xf numFmtId="0" fontId="28" fillId="0" borderId="0" xfId="47" applyFont="1" applyFill="1" applyBorder="1" applyAlignment="1">
      <alignment horizontal="center" vertical="top" wrapText="1"/>
    </xf>
    <xf numFmtId="0" fontId="25" fillId="0" borderId="15" xfId="47" applyFont="1" applyFill="1" applyBorder="1" applyAlignment="1">
      <alignment horizontal="center" vertical="center" wrapText="1"/>
    </xf>
    <xf numFmtId="0" fontId="25" fillId="0" borderId="20" xfId="47" applyFont="1" applyFill="1" applyBorder="1" applyAlignment="1">
      <alignment horizontal="center" vertical="center" wrapText="1"/>
    </xf>
    <xf numFmtId="0" fontId="25" fillId="0" borderId="2" xfId="47" applyFont="1" applyFill="1" applyBorder="1" applyAlignment="1">
      <alignment horizontal="center" vertical="center" wrapText="1"/>
    </xf>
    <xf numFmtId="0" fontId="25" fillId="0" borderId="1" xfId="47" applyFont="1" applyFill="1" applyBorder="1" applyAlignment="1">
      <alignment horizontal="center" vertical="center" wrapText="1"/>
    </xf>
    <xf numFmtId="0" fontId="25" fillId="0" borderId="15" xfId="47" applyFont="1" applyFill="1" applyBorder="1" applyAlignment="1">
      <alignment horizontal="center" vertical="center"/>
    </xf>
    <xf numFmtId="0" fontId="25" fillId="0" borderId="20" xfId="47" applyFont="1" applyFill="1" applyBorder="1" applyAlignment="1">
      <alignment horizontal="center" vertical="center"/>
    </xf>
    <xf numFmtId="0" fontId="25" fillId="0" borderId="2" xfId="47" applyFont="1" applyFill="1" applyBorder="1" applyAlignment="1">
      <alignment horizontal="center" vertical="center"/>
    </xf>
    <xf numFmtId="0" fontId="25" fillId="0" borderId="1" xfId="47" applyFont="1" applyFill="1" applyBorder="1" applyAlignment="1">
      <alignment horizontal="center" vertical="top" wrapText="1"/>
    </xf>
    <xf numFmtId="0" fontId="25" fillId="0" borderId="16" xfId="47" applyFont="1" applyFill="1" applyBorder="1" applyAlignment="1">
      <alignment horizontal="center" vertical="top" wrapText="1"/>
    </xf>
    <xf numFmtId="0" fontId="25" fillId="0" borderId="26" xfId="47" applyFont="1" applyFill="1" applyBorder="1" applyAlignment="1">
      <alignment horizontal="center" vertical="top" wrapText="1"/>
    </xf>
    <xf numFmtId="0" fontId="25" fillId="0" borderId="0" xfId="47" applyFont="1" applyFill="1" applyBorder="1" applyAlignment="1">
      <alignment horizontal="right" vertical="top" wrapText="1"/>
    </xf>
    <xf numFmtId="0" fontId="2" fillId="0" borderId="4" xfId="0" applyFont="1" applyBorder="1" applyAlignment="1">
      <alignment horizontal="center"/>
    </xf>
    <xf numFmtId="0" fontId="21" fillId="0" borderId="0" xfId="0" applyFont="1" applyAlignment="1">
      <alignment horizontal="center" vertical="center" wrapText="1"/>
    </xf>
    <xf numFmtId="0" fontId="23" fillId="0" borderId="0" xfId="0" applyFont="1" applyAlignment="1">
      <alignment horizontal="center" vertical="top" wrapText="1"/>
    </xf>
    <xf numFmtId="0" fontId="2" fillId="0" borderId="3" xfId="0" applyFont="1" applyBorder="1" applyAlignment="1">
      <alignment horizontal="center"/>
    </xf>
    <xf numFmtId="0" fontId="25" fillId="0" borderId="0" xfId="0" applyFont="1" applyAlignment="1">
      <alignment horizontal="left" vertical="top" wrapText="1"/>
    </xf>
    <xf numFmtId="0" fontId="25" fillId="0" borderId="3" xfId="47" applyFont="1" applyBorder="1" applyAlignment="1">
      <alignment horizontal="center" vertical="center"/>
    </xf>
    <xf numFmtId="0" fontId="22" fillId="0" borderId="1" xfId="34" applyFont="1" applyBorder="1" applyAlignment="1" applyProtection="1">
      <alignment horizontal="center" vertical="center" wrapText="1"/>
    </xf>
    <xf numFmtId="0" fontId="22" fillId="0" borderId="0" xfId="47" applyFont="1" applyBorder="1" applyAlignment="1">
      <alignment horizontal="right" vertical="top" wrapText="1"/>
    </xf>
    <xf numFmtId="0" fontId="28" fillId="0" borderId="0" xfId="47" applyFont="1" applyFill="1" applyAlignment="1">
      <alignment horizontal="center" vertical="center" wrapText="1"/>
    </xf>
    <xf numFmtId="0" fontId="30" fillId="0" borderId="0" xfId="47" applyFont="1" applyAlignment="1">
      <alignment horizontal="center"/>
    </xf>
    <xf numFmtId="0" fontId="25" fillId="0" borderId="1" xfId="47" applyFont="1" applyBorder="1" applyAlignment="1">
      <alignment horizontal="center" vertical="top" wrapText="1"/>
    </xf>
    <xf numFmtId="0" fontId="22" fillId="0" borderId="1" xfId="47" applyFont="1" applyBorder="1" applyAlignment="1">
      <alignment horizontal="center" vertical="top" wrapText="1"/>
    </xf>
    <xf numFmtId="0" fontId="25" fillId="0" borderId="15" xfId="47" applyFont="1" applyBorder="1" applyAlignment="1">
      <alignment horizontal="left" vertical="top" wrapText="1"/>
    </xf>
    <xf numFmtId="0" fontId="25" fillId="0" borderId="20" xfId="47" applyFont="1" applyBorder="1" applyAlignment="1">
      <alignment horizontal="left" vertical="top" wrapText="1"/>
    </xf>
    <xf numFmtId="0" fontId="25" fillId="0" borderId="2" xfId="47" applyFont="1" applyBorder="1" applyAlignment="1">
      <alignment horizontal="left" vertical="top" wrapText="1"/>
    </xf>
    <xf numFmtId="0" fontId="25" fillId="0" borderId="15" xfId="47" applyFont="1" applyBorder="1" applyAlignment="1">
      <alignment horizontal="center" vertical="center" wrapText="1"/>
    </xf>
    <xf numFmtId="0" fontId="25" fillId="0" borderId="20" xfId="47" applyFont="1" applyBorder="1" applyAlignment="1">
      <alignment horizontal="center" vertical="center" wrapText="1"/>
    </xf>
    <xf numFmtId="0" fontId="25" fillId="0" borderId="2" xfId="47" applyFont="1" applyBorder="1" applyAlignment="1">
      <alignment horizontal="center" vertical="center" wrapText="1"/>
    </xf>
    <xf numFmtId="0" fontId="38" fillId="0" borderId="15" xfId="47" applyFont="1" applyBorder="1" applyAlignment="1">
      <alignment horizontal="center" vertical="center" wrapText="1"/>
    </xf>
    <xf numFmtId="0" fontId="38" fillId="0" borderId="20" xfId="47" applyFont="1" applyBorder="1" applyAlignment="1">
      <alignment horizontal="center" vertical="center" wrapText="1"/>
    </xf>
    <xf numFmtId="0" fontId="38" fillId="0" borderId="2" xfId="47" applyFont="1" applyBorder="1" applyAlignment="1">
      <alignment horizontal="center" vertical="center" wrapText="1"/>
    </xf>
    <xf numFmtId="0" fontId="25" fillId="0" borderId="15" xfId="47" applyFont="1" applyFill="1" applyBorder="1" applyAlignment="1">
      <alignment horizontal="left" vertical="top" wrapText="1"/>
    </xf>
    <xf numFmtId="0" fontId="25" fillId="0" borderId="20" xfId="47" applyFont="1" applyFill="1" applyBorder="1" applyAlignment="1">
      <alignment horizontal="left" vertical="top" wrapText="1"/>
    </xf>
    <xf numFmtId="0" fontId="25" fillId="0" borderId="2" xfId="47" applyFont="1" applyFill="1" applyBorder="1" applyAlignment="1">
      <alignment horizontal="left" vertical="top" wrapText="1"/>
    </xf>
    <xf numFmtId="0" fontId="28" fillId="0" borderId="0" xfId="47" applyFont="1" applyFill="1" applyAlignment="1">
      <alignment horizontal="center" wrapText="1"/>
    </xf>
    <xf numFmtId="0" fontId="28" fillId="0" borderId="0" xfId="47" applyFont="1" applyFill="1" applyAlignment="1">
      <alignment horizontal="center" vertical="center"/>
    </xf>
    <xf numFmtId="0" fontId="25" fillId="0" borderId="0" xfId="47" applyFont="1" applyAlignment="1">
      <alignment horizontal="left"/>
    </xf>
    <xf numFmtId="0" fontId="129" fillId="0" borderId="60" xfId="68" applyFont="1" applyBorder="1" applyAlignment="1">
      <alignment horizontal="center" wrapText="1"/>
    </xf>
    <xf numFmtId="0" fontId="129" fillId="0" borderId="32" xfId="68" applyFont="1" applyBorder="1" applyAlignment="1">
      <alignment horizontal="center" wrapText="1"/>
    </xf>
    <xf numFmtId="0" fontId="129" fillId="0" borderId="61" xfId="68" applyFont="1" applyBorder="1" applyAlignment="1">
      <alignment horizontal="center" wrapText="1"/>
    </xf>
    <xf numFmtId="0" fontId="129" fillId="0" borderId="60" xfId="68" applyNumberFormat="1" applyFont="1" applyBorder="1" applyAlignment="1">
      <alignment horizontal="center" wrapText="1"/>
    </xf>
    <xf numFmtId="0" fontId="129" fillId="0" borderId="61" xfId="68" applyNumberFormat="1" applyFont="1" applyBorder="1" applyAlignment="1">
      <alignment horizontal="center" wrapText="1"/>
    </xf>
    <xf numFmtId="0" fontId="129" fillId="0" borderId="32" xfId="68" applyNumberFormat="1" applyFont="1" applyBorder="1" applyAlignment="1">
      <alignment horizontal="center" wrapText="1"/>
    </xf>
    <xf numFmtId="0" fontId="129" fillId="0" borderId="62" xfId="68" applyFont="1" applyBorder="1" applyAlignment="1">
      <alignment horizontal="center" wrapText="1"/>
    </xf>
    <xf numFmtId="0" fontId="129" fillId="0" borderId="63" xfId="68" applyFont="1" applyBorder="1" applyAlignment="1">
      <alignment horizontal="center" wrapText="1"/>
    </xf>
    <xf numFmtId="0" fontId="129" fillId="0" borderId="35" xfId="68" applyFont="1" applyBorder="1" applyAlignment="1">
      <alignment horizontal="center" wrapText="1"/>
    </xf>
    <xf numFmtId="0" fontId="125" fillId="0" borderId="65" xfId="68" applyFont="1" applyBorder="1" applyAlignment="1">
      <alignment horizontal="center" wrapText="1"/>
    </xf>
    <xf numFmtId="0" fontId="125" fillId="0" borderId="30" xfId="68" applyFont="1" applyBorder="1" applyAlignment="1">
      <alignment horizontal="center" wrapText="1"/>
    </xf>
    <xf numFmtId="0" fontId="128" fillId="0" borderId="60" xfId="68" applyFont="1" applyBorder="1" applyAlignment="1">
      <alignment horizontal="center" vertical="center" wrapText="1"/>
    </xf>
    <xf numFmtId="0" fontId="128" fillId="0" borderId="32" xfId="68" applyFont="1" applyBorder="1" applyAlignment="1">
      <alignment horizontal="center" vertical="center" wrapText="1"/>
    </xf>
    <xf numFmtId="0" fontId="128" fillId="0" borderId="62" xfId="68" applyFont="1" applyBorder="1" applyAlignment="1">
      <alignment horizontal="center" vertical="center" wrapText="1"/>
    </xf>
    <xf numFmtId="0" fontId="128" fillId="0" borderId="35" xfId="68" applyFont="1" applyBorder="1" applyAlignment="1">
      <alignment horizontal="center" vertical="center" wrapText="1"/>
    </xf>
    <xf numFmtId="0" fontId="128" fillId="0" borderId="61" xfId="68" applyFont="1" applyBorder="1" applyAlignment="1">
      <alignment horizontal="center" vertical="center" wrapText="1"/>
    </xf>
    <xf numFmtId="0" fontId="125" fillId="0" borderId="67" xfId="68" applyFont="1" applyBorder="1" applyAlignment="1">
      <alignment horizontal="center" wrapText="1"/>
    </xf>
    <xf numFmtId="0" fontId="125" fillId="0" borderId="68" xfId="68" applyFont="1" applyBorder="1" applyAlignment="1">
      <alignment horizontal="center" wrapText="1"/>
    </xf>
    <xf numFmtId="0" fontId="125" fillId="0" borderId="0" xfId="68" applyFont="1" applyAlignment="1">
      <alignment wrapText="1"/>
    </xf>
    <xf numFmtId="0" fontId="125" fillId="0" borderId="0" xfId="68" applyFont="1" applyAlignment="1">
      <alignment horizontal="center" wrapText="1"/>
    </xf>
    <xf numFmtId="0" fontId="125" fillId="0" borderId="64" xfId="68" applyFont="1" applyBorder="1" applyAlignment="1">
      <alignment horizontal="left" wrapText="1"/>
    </xf>
    <xf numFmtId="0" fontId="125" fillId="0" borderId="66" xfId="68" applyFont="1" applyBorder="1" applyAlignment="1">
      <alignment wrapText="1"/>
    </xf>
    <xf numFmtId="0" fontId="125" fillId="0" borderId="27" xfId="68" applyFont="1" applyBorder="1" applyAlignment="1">
      <alignment wrapText="1"/>
    </xf>
    <xf numFmtId="0" fontId="149" fillId="0" borderId="0" xfId="68" applyAlignment="1">
      <alignment wrapText="1"/>
    </xf>
    <xf numFmtId="0" fontId="128" fillId="0" borderId="63" xfId="68" applyFont="1" applyBorder="1" applyAlignment="1">
      <alignment horizontal="center" vertical="center" wrapText="1"/>
    </xf>
    <xf numFmtId="0" fontId="128" fillId="7" borderId="60" xfId="68" applyFont="1" applyFill="1" applyBorder="1" applyAlignment="1">
      <alignment horizontal="center" vertical="center" wrapText="1"/>
    </xf>
    <xf numFmtId="0" fontId="128" fillId="7" borderId="32" xfId="68" applyFont="1" applyFill="1" applyBorder="1" applyAlignment="1">
      <alignment horizontal="center" vertical="center" wrapText="1"/>
    </xf>
    <xf numFmtId="0" fontId="17" fillId="0" borderId="24" xfId="47" applyNumberFormat="1" applyFont="1" applyBorder="1" applyAlignment="1">
      <alignment horizontal="center" vertical="top"/>
    </xf>
    <xf numFmtId="49" fontId="17" fillId="0" borderId="70" xfId="47" applyNumberFormat="1" applyFont="1" applyFill="1" applyBorder="1" applyAlignment="1">
      <alignment horizontal="center"/>
    </xf>
    <xf numFmtId="49" fontId="17" fillId="0" borderId="1" xfId="47" applyNumberFormat="1" applyFont="1" applyFill="1" applyBorder="1" applyAlignment="1">
      <alignment horizontal="center"/>
    </xf>
    <xf numFmtId="49" fontId="17" fillId="0" borderId="69" xfId="47" applyNumberFormat="1" applyFont="1" applyFill="1" applyBorder="1" applyAlignment="1">
      <alignment horizontal="center"/>
    </xf>
    <xf numFmtId="49" fontId="17" fillId="0" borderId="75" xfId="47" applyNumberFormat="1" applyFont="1" applyFill="1" applyBorder="1" applyAlignment="1">
      <alignment horizontal="center"/>
    </xf>
    <xf numFmtId="49" fontId="17" fillId="0" borderId="76" xfId="47" applyNumberFormat="1" applyFont="1" applyFill="1" applyBorder="1" applyAlignment="1">
      <alignment horizontal="center"/>
    </xf>
    <xf numFmtId="49" fontId="17" fillId="0" borderId="77" xfId="47" applyNumberFormat="1" applyFont="1" applyFill="1" applyBorder="1" applyAlignment="1">
      <alignment horizontal="center"/>
    </xf>
    <xf numFmtId="0" fontId="34" fillId="0" borderId="0" xfId="47" applyNumberFormat="1" applyFont="1" applyBorder="1" applyAlignment="1">
      <alignment horizontal="left" vertical="top" wrapText="1"/>
    </xf>
    <xf numFmtId="0" fontId="34" fillId="0" borderId="0" xfId="47" applyNumberFormat="1" applyFont="1" applyBorder="1" applyAlignment="1">
      <alignment horizontal="left" vertical="top"/>
    </xf>
    <xf numFmtId="0" fontId="17" fillId="0" borderId="0" xfId="47" applyNumberFormat="1" applyFont="1" applyBorder="1" applyAlignment="1">
      <alignment horizontal="left"/>
    </xf>
    <xf numFmtId="2" fontId="17" fillId="0" borderId="23" xfId="47" applyNumberFormat="1" applyFont="1" applyFill="1" applyBorder="1" applyAlignment="1">
      <alignment horizontal="center"/>
    </xf>
    <xf numFmtId="2" fontId="17" fillId="0" borderId="71" xfId="47" applyNumberFormat="1" applyFont="1" applyFill="1" applyBorder="1" applyAlignment="1">
      <alignment horizontal="center" vertical="center"/>
    </xf>
    <xf numFmtId="2" fontId="17" fillId="0" borderId="72" xfId="47" applyNumberFormat="1" applyFont="1" applyFill="1" applyBorder="1" applyAlignment="1">
      <alignment horizontal="center" vertical="center"/>
    </xf>
    <xf numFmtId="2" fontId="17" fillId="0" borderId="73" xfId="47" applyNumberFormat="1" applyFont="1" applyFill="1" applyBorder="1" applyAlignment="1">
      <alignment horizontal="center" vertical="center"/>
    </xf>
    <xf numFmtId="0" fontId="17" fillId="0" borderId="1" xfId="47" applyNumberFormat="1" applyFont="1" applyBorder="1" applyAlignment="1">
      <alignment horizontal="center" vertical="top"/>
    </xf>
    <xf numFmtId="0" fontId="17" fillId="0" borderId="16" xfId="47" applyNumberFormat="1" applyFont="1" applyBorder="1" applyAlignment="1">
      <alignment horizontal="center" vertical="top"/>
    </xf>
    <xf numFmtId="0" fontId="17" fillId="0" borderId="26" xfId="47" applyNumberFormat="1" applyFont="1" applyBorder="1" applyAlignment="1">
      <alignment horizontal="center" vertical="top"/>
    </xf>
    <xf numFmtId="0" fontId="17" fillId="0" borderId="17" xfId="47" applyNumberFormat="1" applyFont="1" applyBorder="1" applyAlignment="1">
      <alignment horizontal="center" vertical="top"/>
    </xf>
    <xf numFmtId="0" fontId="17" fillId="0" borderId="3" xfId="47" applyNumberFormat="1" applyFont="1" applyFill="1" applyBorder="1" applyAlignment="1">
      <alignment horizontal="left" wrapText="1"/>
    </xf>
    <xf numFmtId="0" fontId="34" fillId="0" borderId="1" xfId="47" applyNumberFormat="1" applyFont="1" applyBorder="1" applyAlignment="1">
      <alignment horizontal="center" vertical="center" wrapText="1"/>
    </xf>
    <xf numFmtId="0" fontId="34" fillId="0" borderId="1" xfId="47" applyNumberFormat="1" applyFont="1" applyBorder="1" applyAlignment="1">
      <alignment horizontal="center" vertical="center"/>
    </xf>
    <xf numFmtId="0" fontId="17" fillId="0" borderId="1" xfId="47" applyNumberFormat="1" applyFont="1" applyBorder="1" applyAlignment="1">
      <alignment horizontal="center" vertical="center" wrapText="1"/>
    </xf>
    <xf numFmtId="0" fontId="17" fillId="0" borderId="1" xfId="47" applyNumberFormat="1" applyFont="1" applyBorder="1" applyAlignment="1">
      <alignment horizontal="center" vertical="center"/>
    </xf>
    <xf numFmtId="2" fontId="17" fillId="0" borderId="43" xfId="47" applyNumberFormat="1" applyFont="1" applyFill="1" applyBorder="1" applyAlignment="1">
      <alignment horizontal="center" vertical="center"/>
    </xf>
    <xf numFmtId="2" fontId="17" fillId="0" borderId="25" xfId="47" applyNumberFormat="1" applyFont="1" applyFill="1" applyBorder="1" applyAlignment="1">
      <alignment horizontal="center" vertical="center"/>
    </xf>
    <xf numFmtId="2" fontId="17" fillId="0" borderId="1" xfId="47" applyNumberFormat="1" applyFont="1" applyFill="1" applyBorder="1" applyAlignment="1">
      <alignment horizontal="center" vertical="center"/>
    </xf>
    <xf numFmtId="2" fontId="17" fillId="0" borderId="69" xfId="47" applyNumberFormat="1" applyFont="1" applyFill="1" applyBorder="1" applyAlignment="1">
      <alignment horizontal="center" vertical="center"/>
    </xf>
    <xf numFmtId="0" fontId="17" fillId="0" borderId="56" xfId="47" applyNumberFormat="1" applyFont="1" applyBorder="1" applyAlignment="1">
      <alignment horizontal="center" vertical="top"/>
    </xf>
    <xf numFmtId="49" fontId="17" fillId="0" borderId="39" xfId="47" applyNumberFormat="1" applyFont="1" applyFill="1" applyBorder="1" applyAlignment="1">
      <alignment horizontal="center"/>
    </xf>
    <xf numFmtId="49" fontId="17" fillId="0" borderId="40" xfId="47" applyNumberFormat="1" applyFont="1" applyFill="1" applyBorder="1" applyAlignment="1">
      <alignment horizontal="center"/>
    </xf>
    <xf numFmtId="49" fontId="17" fillId="0" borderId="44" xfId="47" applyNumberFormat="1" applyFont="1" applyFill="1" applyBorder="1" applyAlignment="1">
      <alignment horizontal="center"/>
    </xf>
    <xf numFmtId="0" fontId="17" fillId="0" borderId="18" xfId="47" applyNumberFormat="1" applyFont="1" applyBorder="1" applyAlignment="1">
      <alignment horizontal="center" vertical="center"/>
    </xf>
    <xf numFmtId="0" fontId="17" fillId="0" borderId="4" xfId="47" applyNumberFormat="1" applyFont="1" applyBorder="1" applyAlignment="1">
      <alignment horizontal="center" vertical="center"/>
    </xf>
    <xf numFmtId="0" fontId="17" fillId="0" borderId="6" xfId="47" applyNumberFormat="1" applyFont="1" applyBorder="1" applyAlignment="1">
      <alignment horizontal="center" vertical="center"/>
    </xf>
    <xf numFmtId="0" fontId="17" fillId="0" borderId="0" xfId="47" applyNumberFormat="1" applyFont="1" applyBorder="1" applyAlignment="1">
      <alignment horizontal="center" vertical="center"/>
    </xf>
    <xf numFmtId="0" fontId="17" fillId="0" borderId="7" xfId="47" applyNumberFormat="1" applyFont="1" applyBorder="1" applyAlignment="1">
      <alignment horizontal="center" vertical="center"/>
    </xf>
    <xf numFmtId="0" fontId="17" fillId="0" borderId="3" xfId="47" applyNumberFormat="1" applyFont="1" applyBorder="1" applyAlignment="1">
      <alignment horizontal="center" vertical="center"/>
    </xf>
    <xf numFmtId="0" fontId="17" fillId="0" borderId="0" xfId="47" applyNumberFormat="1" applyFont="1" applyFill="1" applyBorder="1" applyAlignment="1">
      <alignment horizontal="left" wrapText="1"/>
    </xf>
    <xf numFmtId="0" fontId="17" fillId="0" borderId="18" xfId="47" applyNumberFormat="1" applyFont="1" applyBorder="1" applyAlignment="1">
      <alignment horizontal="center"/>
    </xf>
    <xf numFmtId="0" fontId="17" fillId="0" borderId="4" xfId="47" applyNumberFormat="1" applyFont="1" applyBorder="1" applyAlignment="1">
      <alignment horizontal="center"/>
    </xf>
    <xf numFmtId="0" fontId="17" fillId="0" borderId="74" xfId="47" applyNumberFormat="1" applyFont="1" applyBorder="1" applyAlignment="1">
      <alignment horizontal="center"/>
    </xf>
    <xf numFmtId="0" fontId="34" fillId="0" borderId="4" xfId="47" applyNumberFormat="1" applyFont="1" applyBorder="1" applyAlignment="1">
      <alignment horizontal="center" vertical="center"/>
    </xf>
    <xf numFmtId="49" fontId="17" fillId="0" borderId="3" xfId="47" applyNumberFormat="1" applyFont="1" applyFill="1" applyBorder="1" applyAlignment="1">
      <alignment horizontal="center"/>
    </xf>
    <xf numFmtId="0" fontId="17" fillId="0" borderId="0" xfId="47" applyNumberFormat="1" applyFont="1" applyBorder="1" applyAlignment="1">
      <alignment horizontal="right"/>
    </xf>
    <xf numFmtId="0" fontId="17" fillId="0" borderId="3" xfId="47" applyNumberFormat="1" applyFont="1" applyFill="1" applyBorder="1" applyAlignment="1">
      <alignment horizontal="center"/>
    </xf>
    <xf numFmtId="0" fontId="34" fillId="0" borderId="4" xfId="47" applyNumberFormat="1" applyFont="1" applyBorder="1" applyAlignment="1">
      <alignment horizontal="center" vertical="top"/>
    </xf>
    <xf numFmtId="49" fontId="17" fillId="0" borderId="1" xfId="47" applyNumberFormat="1" applyFont="1" applyFill="1" applyBorder="1" applyAlignment="1">
      <alignment horizontal="center" vertical="center"/>
    </xf>
    <xf numFmtId="0" fontId="37" fillId="0" borderId="42" xfId="47" applyNumberFormat="1" applyFont="1" applyBorder="1" applyAlignment="1">
      <alignment horizontal="center"/>
    </xf>
    <xf numFmtId="0" fontId="37" fillId="0" borderId="19" xfId="47" applyNumberFormat="1" applyFont="1" applyBorder="1" applyAlignment="1">
      <alignment horizontal="center"/>
    </xf>
    <xf numFmtId="49" fontId="17" fillId="0" borderId="24" xfId="47" applyNumberFormat="1" applyFont="1" applyBorder="1" applyAlignment="1">
      <alignment horizontal="center" vertical="center"/>
    </xf>
    <xf numFmtId="2" fontId="17" fillId="0" borderId="24" xfId="47" applyNumberFormat="1" applyFont="1" applyFill="1" applyBorder="1" applyAlignment="1">
      <alignment horizontal="center" vertical="center"/>
    </xf>
    <xf numFmtId="49" fontId="17" fillId="0" borderId="38" xfId="47" applyNumberFormat="1" applyFont="1" applyFill="1" applyBorder="1" applyAlignment="1">
      <alignment horizontal="center"/>
    </xf>
    <xf numFmtId="49" fontId="17" fillId="0" borderId="23" xfId="47" applyNumberFormat="1" applyFont="1" applyFill="1" applyBorder="1" applyAlignment="1">
      <alignment horizontal="center"/>
    </xf>
    <xf numFmtId="2" fontId="17" fillId="0" borderId="39" xfId="47" applyNumberFormat="1" applyFont="1" applyFill="1" applyBorder="1" applyAlignment="1">
      <alignment horizontal="center" vertical="center"/>
    </xf>
    <xf numFmtId="2" fontId="17" fillId="0" borderId="40" xfId="47" applyNumberFormat="1" applyFont="1" applyFill="1" applyBorder="1" applyAlignment="1">
      <alignment horizontal="center" vertical="center"/>
    </xf>
    <xf numFmtId="2" fontId="17" fillId="0" borderId="41" xfId="47" applyNumberFormat="1" applyFont="1" applyFill="1" applyBorder="1" applyAlignment="1">
      <alignment horizontal="center" vertical="center"/>
    </xf>
    <xf numFmtId="0" fontId="37" fillId="0" borderId="11" xfId="47" applyNumberFormat="1" applyFont="1" applyBorder="1" applyAlignment="1">
      <alignment horizontal="center"/>
    </xf>
    <xf numFmtId="0" fontId="37" fillId="0" borderId="0" xfId="47" applyNumberFormat="1" applyFont="1" applyBorder="1" applyAlignment="1">
      <alignment horizontal="center"/>
    </xf>
    <xf numFmtId="0" fontId="17" fillId="0" borderId="15" xfId="47" applyNumberFormat="1" applyFont="1" applyBorder="1" applyAlignment="1">
      <alignment horizontal="center" vertical="top"/>
    </xf>
    <xf numFmtId="49" fontId="17" fillId="0" borderId="24" xfId="47" applyNumberFormat="1" applyFont="1" applyFill="1" applyBorder="1" applyAlignment="1">
      <alignment horizontal="center" vertical="center"/>
    </xf>
    <xf numFmtId="49" fontId="17" fillId="0" borderId="37" xfId="47" applyNumberFormat="1" applyFont="1" applyFill="1" applyBorder="1" applyAlignment="1">
      <alignment horizontal="center" vertical="center"/>
    </xf>
    <xf numFmtId="49" fontId="17" fillId="0" borderId="3" xfId="47" applyNumberFormat="1" applyFont="1" applyFill="1" applyBorder="1" applyAlignment="1">
      <alignment horizontal="left"/>
    </xf>
    <xf numFmtId="0" fontId="34" fillId="0" borderId="0" xfId="47" applyNumberFormat="1" applyFont="1" applyBorder="1" applyAlignment="1">
      <alignment horizontal="center" vertical="center"/>
    </xf>
    <xf numFmtId="0" fontId="17" fillId="0" borderId="39" xfId="47" applyNumberFormat="1" applyFont="1" applyFill="1" applyBorder="1" applyAlignment="1">
      <alignment horizontal="center"/>
    </xf>
    <xf numFmtId="0" fontId="17" fillId="0" borderId="40" xfId="47" applyNumberFormat="1" applyFont="1" applyFill="1" applyBorder="1" applyAlignment="1">
      <alignment horizontal="center"/>
    </xf>
    <xf numFmtId="0" fontId="17" fillId="0" borderId="44" xfId="47" applyNumberFormat="1" applyFont="1" applyFill="1" applyBorder="1" applyAlignment="1">
      <alignment horizontal="center"/>
    </xf>
    <xf numFmtId="0" fontId="34" fillId="0" borderId="0" xfId="47" applyNumberFormat="1" applyFont="1" applyBorder="1" applyAlignment="1">
      <alignment horizontal="center" vertical="top"/>
    </xf>
    <xf numFmtId="0" fontId="17" fillId="0" borderId="26" xfId="47" applyNumberFormat="1" applyFont="1" applyFill="1" applyBorder="1" applyAlignment="1">
      <alignment horizontal="left" vertical="center" wrapText="1"/>
    </xf>
    <xf numFmtId="0" fontId="17" fillId="0" borderId="36" xfId="47" applyNumberFormat="1" applyFont="1" applyFill="1" applyBorder="1" applyAlignment="1">
      <alignment horizontal="left" vertical="center" wrapText="1"/>
    </xf>
    <xf numFmtId="0" fontId="17" fillId="0" borderId="0" xfId="47" applyNumberFormat="1" applyFont="1" applyBorder="1" applyAlignment="1">
      <alignment horizontal="left" vertical="top" wrapText="1"/>
    </xf>
    <xf numFmtId="2" fontId="17" fillId="0" borderId="45" xfId="47" applyNumberFormat="1" applyFont="1" applyFill="1" applyBorder="1" applyAlignment="1">
      <alignment horizontal="center"/>
    </xf>
    <xf numFmtId="0" fontId="17" fillId="0" borderId="17" xfId="47" applyNumberFormat="1" applyFont="1" applyFill="1" applyBorder="1" applyAlignment="1">
      <alignment horizontal="center" wrapText="1"/>
    </xf>
    <xf numFmtId="0" fontId="17" fillId="0" borderId="1" xfId="47" applyNumberFormat="1" applyFont="1" applyFill="1" applyBorder="1" applyAlignment="1">
      <alignment horizontal="center" wrapText="1"/>
    </xf>
    <xf numFmtId="0" fontId="17" fillId="0" borderId="16" xfId="47" applyNumberFormat="1" applyFont="1" applyFill="1" applyBorder="1" applyAlignment="1">
      <alignment horizontal="center" wrapText="1"/>
    </xf>
    <xf numFmtId="49" fontId="17" fillId="0" borderId="59" xfId="47" applyNumberFormat="1" applyFont="1" applyFill="1" applyBorder="1" applyAlignment="1">
      <alignment horizontal="center"/>
    </xf>
    <xf numFmtId="49" fontId="17" fillId="0" borderId="26" xfId="47" applyNumberFormat="1" applyFont="1" applyFill="1" applyBorder="1" applyAlignment="1">
      <alignment horizontal="center"/>
    </xf>
    <xf numFmtId="49" fontId="17" fillId="0" borderId="36" xfId="47" applyNumberFormat="1" applyFont="1" applyFill="1" applyBorder="1" applyAlignment="1">
      <alignment horizontal="center"/>
    </xf>
    <xf numFmtId="0" fontId="17" fillId="0" borderId="17" xfId="47" applyNumberFormat="1" applyFont="1" applyBorder="1" applyAlignment="1">
      <alignment horizontal="center" vertical="center"/>
    </xf>
    <xf numFmtId="49" fontId="17" fillId="0" borderId="57" xfId="47" applyNumberFormat="1" applyFont="1" applyFill="1" applyBorder="1" applyAlignment="1">
      <alignment horizontal="center"/>
    </xf>
    <xf numFmtId="49" fontId="17" fillId="0" borderId="4" xfId="47" applyNumberFormat="1" applyFont="1" applyFill="1" applyBorder="1" applyAlignment="1">
      <alignment horizontal="center"/>
    </xf>
    <xf numFmtId="49" fontId="17" fillId="0" borderId="58" xfId="47" applyNumberFormat="1" applyFont="1" applyFill="1" applyBorder="1" applyAlignment="1">
      <alignment horizontal="center"/>
    </xf>
    <xf numFmtId="49" fontId="17" fillId="0" borderId="54" xfId="47" applyNumberFormat="1" applyFont="1" applyFill="1" applyBorder="1" applyAlignment="1">
      <alignment horizontal="center"/>
    </xf>
    <xf numFmtId="49" fontId="17" fillId="0" borderId="55" xfId="47" applyNumberFormat="1" applyFont="1" applyFill="1" applyBorder="1" applyAlignment="1">
      <alignment horizontal="center"/>
    </xf>
    <xf numFmtId="0" fontId="17" fillId="0" borderId="6" xfId="47" applyNumberFormat="1" applyFont="1" applyBorder="1" applyAlignment="1">
      <alignment horizontal="center"/>
    </xf>
    <xf numFmtId="0" fontId="17" fillId="0" borderId="0" xfId="47" applyNumberFormat="1" applyFont="1" applyBorder="1" applyAlignment="1">
      <alignment horizontal="center"/>
    </xf>
    <xf numFmtId="0" fontId="17" fillId="0" borderId="5" xfId="47" applyNumberFormat="1" applyFont="1" applyBorder="1" applyAlignment="1">
      <alignment horizontal="center"/>
    </xf>
    <xf numFmtId="0" fontId="17" fillId="0" borderId="18" xfId="47" applyNumberFormat="1" applyFont="1" applyBorder="1" applyAlignment="1">
      <alignment horizontal="center" vertical="center" wrapText="1"/>
    </xf>
    <xf numFmtId="0" fontId="17" fillId="0" borderId="4" xfId="47" applyNumberFormat="1" applyFont="1" applyBorder="1" applyAlignment="1">
      <alignment horizontal="center" vertical="center" wrapText="1"/>
    </xf>
    <xf numFmtId="0" fontId="17" fillId="0" borderId="74" xfId="47" applyNumberFormat="1" applyFont="1" applyBorder="1" applyAlignment="1">
      <alignment horizontal="center" vertical="center" wrapText="1"/>
    </xf>
    <xf numFmtId="0" fontId="17" fillId="0" borderId="6" xfId="47" applyNumberFormat="1" applyFont="1" applyBorder="1" applyAlignment="1">
      <alignment horizontal="center" vertical="center" wrapText="1"/>
    </xf>
    <xf numFmtId="0" fontId="17" fillId="0" borderId="0" xfId="47" applyNumberFormat="1" applyFont="1" applyBorder="1" applyAlignment="1">
      <alignment horizontal="center" vertical="center" wrapText="1"/>
    </xf>
    <xf numFmtId="0" fontId="17" fillId="0" borderId="5" xfId="47" applyNumberFormat="1" applyFont="1" applyBorder="1" applyAlignment="1">
      <alignment horizontal="center" vertical="center" wrapText="1"/>
    </xf>
    <xf numFmtId="0" fontId="17" fillId="0" borderId="7" xfId="47" applyNumberFormat="1" applyFont="1" applyBorder="1" applyAlignment="1">
      <alignment horizontal="center" vertical="center" wrapText="1"/>
    </xf>
    <xf numFmtId="0" fontId="17" fillId="0" borderId="3" xfId="47" applyNumberFormat="1" applyFont="1" applyBorder="1" applyAlignment="1">
      <alignment horizontal="center" vertical="center" wrapText="1"/>
    </xf>
    <xf numFmtId="0" fontId="17" fillId="0" borderId="8" xfId="47" applyNumberFormat="1" applyFont="1" applyBorder="1" applyAlignment="1">
      <alignment horizontal="center" vertical="center" wrapText="1"/>
    </xf>
    <xf numFmtId="49" fontId="20" fillId="0" borderId="53" xfId="47" applyNumberFormat="1" applyFont="1" applyFill="1" applyBorder="1" applyAlignment="1">
      <alignment horizontal="center" vertical="center"/>
    </xf>
    <xf numFmtId="49" fontId="20" fillId="0" borderId="49" xfId="47" applyNumberFormat="1" applyFont="1" applyFill="1" applyBorder="1" applyAlignment="1">
      <alignment horizontal="center" vertical="center"/>
    </xf>
    <xf numFmtId="49" fontId="20" fillId="0" borderId="50" xfId="47" applyNumberFormat="1" applyFont="1" applyFill="1" applyBorder="1" applyAlignment="1">
      <alignment horizontal="center" vertical="center"/>
    </xf>
    <xf numFmtId="49" fontId="20" fillId="0" borderId="46" xfId="47" applyNumberFormat="1" applyFont="1" applyFill="1" applyBorder="1" applyAlignment="1">
      <alignment horizontal="center" vertical="center"/>
    </xf>
    <xf numFmtId="49" fontId="20" fillId="0" borderId="47" xfId="47" applyNumberFormat="1" applyFont="1" applyFill="1" applyBorder="1" applyAlignment="1">
      <alignment horizontal="center" vertical="center"/>
    </xf>
    <xf numFmtId="49" fontId="20" fillId="0" borderId="48" xfId="47" applyNumberFormat="1" applyFont="1" applyFill="1" applyBorder="1" applyAlignment="1">
      <alignment horizontal="center" vertical="center"/>
    </xf>
    <xf numFmtId="0" fontId="17" fillId="0" borderId="0" xfId="47" applyNumberFormat="1" applyFont="1" applyFill="1" applyBorder="1" applyAlignment="1">
      <alignment horizontal="left"/>
    </xf>
    <xf numFmtId="0" fontId="17" fillId="0" borderId="3" xfId="47" applyNumberFormat="1" applyFont="1" applyFill="1" applyBorder="1" applyAlignment="1">
      <alignment horizontal="left"/>
    </xf>
    <xf numFmtId="49" fontId="17" fillId="0" borderId="51" xfId="47" applyNumberFormat="1" applyFont="1" applyFill="1" applyBorder="1" applyAlignment="1">
      <alignment horizontal="center"/>
    </xf>
    <xf numFmtId="49" fontId="17" fillId="0" borderId="0" xfId="47" applyNumberFormat="1" applyFont="1" applyFill="1" applyBorder="1" applyAlignment="1">
      <alignment horizontal="center"/>
    </xf>
    <xf numFmtId="49" fontId="17" fillId="0" borderId="52" xfId="47" applyNumberFormat="1" applyFont="1" applyFill="1" applyBorder="1" applyAlignment="1">
      <alignment horizontal="center"/>
    </xf>
    <xf numFmtId="49" fontId="17" fillId="0" borderId="38" xfId="47" applyNumberFormat="1" applyFont="1" applyBorder="1" applyAlignment="1">
      <alignment horizontal="center" vertical="center"/>
    </xf>
    <xf numFmtId="49" fontId="17" fillId="0" borderId="23" xfId="47" applyNumberFormat="1" applyFont="1" applyBorder="1" applyAlignment="1">
      <alignment horizontal="center" vertical="center"/>
    </xf>
    <xf numFmtId="49" fontId="17" fillId="0" borderId="45" xfId="47" applyNumberFormat="1" applyFont="1" applyBorder="1" applyAlignment="1">
      <alignment horizontal="center" vertical="center"/>
    </xf>
    <xf numFmtId="49" fontId="36" fillId="0" borderId="3" xfId="47" applyNumberFormat="1" applyFont="1" applyFill="1" applyBorder="1" applyAlignment="1">
      <alignment horizontal="left"/>
    </xf>
    <xf numFmtId="0" fontId="18" fillId="0" borderId="0" xfId="47" applyNumberFormat="1" applyFont="1" applyBorder="1" applyAlignment="1">
      <alignment horizontal="center"/>
    </xf>
    <xf numFmtId="49" fontId="17" fillId="0" borderId="56" xfId="47" applyNumberFormat="1" applyFont="1" applyBorder="1" applyAlignment="1">
      <alignment horizontal="center" vertical="center"/>
    </xf>
    <xf numFmtId="49" fontId="17" fillId="0" borderId="40" xfId="47" applyNumberFormat="1" applyFont="1" applyBorder="1" applyAlignment="1">
      <alignment horizontal="center" vertical="center"/>
    </xf>
    <xf numFmtId="49" fontId="17" fillId="0" borderId="41" xfId="47" applyNumberFormat="1" applyFont="1" applyBorder="1" applyAlignment="1">
      <alignment horizontal="center" vertical="center"/>
    </xf>
    <xf numFmtId="0" fontId="34" fillId="15" borderId="4" xfId="47" applyNumberFormat="1" applyFont="1" applyFill="1" applyBorder="1" applyAlignment="1">
      <alignment horizontal="center" vertical="top"/>
    </xf>
    <xf numFmtId="0" fontId="17" fillId="15" borderId="0" xfId="47" applyNumberFormat="1" applyFont="1" applyFill="1" applyBorder="1" applyAlignment="1">
      <alignment horizontal="center"/>
    </xf>
    <xf numFmtId="0" fontId="17" fillId="15" borderId="3" xfId="47" applyNumberFormat="1" applyFont="1" applyFill="1" applyBorder="1" applyAlignment="1">
      <alignment horizontal="left"/>
    </xf>
    <xf numFmtId="0" fontId="25" fillId="0" borderId="0" xfId="0" applyFont="1" applyAlignment="1">
      <alignment horizontal="right"/>
    </xf>
    <xf numFmtId="0" fontId="25" fillId="0" borderId="5" xfId="0" applyFont="1" applyBorder="1" applyAlignment="1">
      <alignment horizontal="right"/>
    </xf>
    <xf numFmtId="0" fontId="25" fillId="0" borderId="0" xfId="0" applyFont="1" applyAlignment="1">
      <alignment horizontal="left" wrapText="1"/>
    </xf>
    <xf numFmtId="0" fontId="25" fillId="0" borderId="0" xfId="0" applyFont="1" applyAlignment="1">
      <alignment horizontal="center"/>
    </xf>
    <xf numFmtId="0" fontId="25" fillId="0" borderId="1" xfId="0" applyFont="1" applyFill="1" applyBorder="1" applyAlignment="1">
      <alignment horizontal="center" vertical="center" wrapText="1"/>
    </xf>
    <xf numFmtId="0" fontId="25" fillId="0" borderId="1" xfId="0" applyFont="1" applyBorder="1" applyAlignment="1">
      <alignment horizontal="center" vertical="center" wrapText="1"/>
    </xf>
    <xf numFmtId="0" fontId="25" fillId="0" borderId="0" xfId="0" applyFont="1" applyFill="1" applyAlignment="1">
      <alignment horizontal="right" wrapText="1"/>
    </xf>
    <xf numFmtId="2" fontId="25" fillId="0" borderId="0" xfId="0" applyNumberFormat="1" applyFont="1" applyBorder="1" applyAlignment="1">
      <alignment horizontal="left" wrapText="1"/>
    </xf>
    <xf numFmtId="0" fontId="23" fillId="0" borderId="0" xfId="0" applyFont="1" applyAlignment="1">
      <alignment horizontal="center"/>
    </xf>
    <xf numFmtId="0" fontId="22" fillId="0" borderId="0" xfId="0" applyFont="1" applyAlignment="1">
      <alignment horizontal="right"/>
    </xf>
    <xf numFmtId="0" fontId="22" fillId="0" borderId="0" xfId="0" applyFont="1" applyAlignment="1">
      <alignment horizontal="right" wrapText="1"/>
    </xf>
    <xf numFmtId="0" fontId="25" fillId="0" borderId="0" xfId="0" applyFont="1" applyAlignment="1">
      <alignment horizontal="left"/>
    </xf>
    <xf numFmtId="0" fontId="22" fillId="0" borderId="4" xfId="0" applyFont="1" applyBorder="1" applyAlignment="1">
      <alignment horizontal="center" vertical="top"/>
    </xf>
    <xf numFmtId="49" fontId="25" fillId="0" borderId="1" xfId="0" applyNumberFormat="1" applyFont="1" applyBorder="1" applyAlignment="1">
      <alignment horizontal="center" vertical="center" wrapText="1"/>
    </xf>
    <xf numFmtId="0" fontId="22" fillId="0" borderId="0" xfId="0" applyFont="1" applyAlignment="1">
      <alignment horizontal="left" wrapText="1"/>
    </xf>
    <xf numFmtId="0" fontId="22" fillId="0" borderId="3" xfId="0" applyFont="1" applyBorder="1" applyAlignment="1">
      <alignment horizontal="center"/>
    </xf>
    <xf numFmtId="0" fontId="25" fillId="0" borderId="17" xfId="0" applyFont="1" applyBorder="1" applyAlignment="1">
      <alignment horizontal="center" vertical="center" wrapText="1"/>
    </xf>
    <xf numFmtId="0" fontId="24" fillId="2" borderId="6" xfId="0" applyFont="1" applyFill="1" applyBorder="1" applyAlignment="1">
      <alignment horizontal="left" vertical="center" wrapText="1"/>
    </xf>
    <xf numFmtId="0" fontId="24" fillId="2" borderId="0" xfId="0" applyFont="1" applyFill="1" applyAlignment="1">
      <alignment horizontal="left" vertical="center" wrapText="1"/>
    </xf>
    <xf numFmtId="0" fontId="24" fillId="2" borderId="6" xfId="0" applyFont="1" applyFill="1" applyBorder="1" applyAlignment="1">
      <alignment horizontal="left" vertical="center"/>
    </xf>
    <xf numFmtId="0" fontId="24" fillId="2" borderId="0" xfId="0" applyFont="1" applyFill="1" applyAlignment="1">
      <alignment horizontal="left" vertical="center"/>
    </xf>
    <xf numFmtId="0" fontId="25" fillId="0" borderId="15" xfId="0" applyFont="1" applyBorder="1" applyAlignment="1">
      <alignment horizontal="center" vertical="center" wrapText="1"/>
    </xf>
    <xf numFmtId="0" fontId="25" fillId="0" borderId="2" xfId="0" applyFont="1" applyBorder="1" applyAlignment="1">
      <alignment horizontal="center" vertical="center" wrapText="1"/>
    </xf>
    <xf numFmtId="0" fontId="28" fillId="0" borderId="0" xfId="0" applyFont="1" applyFill="1" applyAlignment="1">
      <alignment horizontal="center"/>
    </xf>
    <xf numFmtId="0" fontId="28" fillId="0" borderId="0" xfId="0" applyFont="1" applyFill="1" applyAlignment="1">
      <alignment horizontal="center" wrapText="1"/>
    </xf>
    <xf numFmtId="4" fontId="28" fillId="0" borderId="0" xfId="58" applyNumberFormat="1" applyFont="1" applyFill="1" applyAlignment="1">
      <alignment horizontal="center" wrapText="1"/>
    </xf>
    <xf numFmtId="4" fontId="5" fillId="0" borderId="0" xfId="58" applyNumberFormat="1" applyFont="1" applyFill="1" applyAlignment="1">
      <alignment horizontal="right" wrapText="1"/>
    </xf>
    <xf numFmtId="0" fontId="18" fillId="0" borderId="0" xfId="58" applyFont="1" applyFill="1" applyAlignment="1">
      <alignment horizontal="right" wrapText="1"/>
    </xf>
    <xf numFmtId="0" fontId="25" fillId="0" borderId="0" xfId="58" applyFont="1" applyFill="1" applyAlignment="1">
      <alignment horizontal="right" wrapText="1"/>
    </xf>
    <xf numFmtId="0" fontId="28" fillId="0" borderId="0" xfId="58" applyFont="1" applyFill="1" applyAlignment="1">
      <alignment horizontal="right" wrapText="1"/>
    </xf>
    <xf numFmtId="4" fontId="28" fillId="0" borderId="0" xfId="58" applyNumberFormat="1" applyFont="1" applyFill="1" applyAlignment="1">
      <alignment horizontal="right" wrapText="1"/>
    </xf>
    <xf numFmtId="4" fontId="25" fillId="0" borderId="0" xfId="58" applyNumberFormat="1" applyFont="1" applyFill="1" applyAlignment="1">
      <alignment horizontal="center" wrapText="1"/>
    </xf>
    <xf numFmtId="0" fontId="6" fillId="0" borderId="0" xfId="58" applyFont="1" applyFill="1" applyAlignment="1">
      <alignment horizontal="center"/>
    </xf>
    <xf numFmtId="49" fontId="5" fillId="0" borderId="0" xfId="58" applyNumberFormat="1" applyFont="1" applyFill="1" applyBorder="1" applyAlignment="1">
      <alignment horizontal="right" wrapText="1"/>
    </xf>
    <xf numFmtId="0" fontId="6" fillId="0" borderId="0" xfId="58" applyFont="1" applyFill="1" applyAlignment="1">
      <alignment horizontal="right"/>
    </xf>
    <xf numFmtId="0" fontId="28" fillId="0" borderId="0" xfId="58" applyFont="1" applyFill="1" applyBorder="1" applyAlignment="1">
      <alignment horizontal="right" wrapText="1"/>
    </xf>
    <xf numFmtId="0" fontId="6" fillId="0" borderId="0" xfId="58" applyFont="1" applyFill="1" applyAlignment="1">
      <alignment horizontal="right" wrapText="1"/>
    </xf>
    <xf numFmtId="4" fontId="5" fillId="8" borderId="0" xfId="58" applyNumberFormat="1" applyFont="1" applyFill="1" applyBorder="1" applyAlignment="1">
      <alignment horizontal="right" wrapText="1"/>
    </xf>
    <xf numFmtId="0" fontId="5" fillId="0" borderId="0" xfId="58" applyFont="1" applyFill="1" applyAlignment="1">
      <alignment horizontal="right" wrapText="1"/>
    </xf>
    <xf numFmtId="0" fontId="5" fillId="0" borderId="0" xfId="58" applyFont="1" applyFill="1" applyAlignment="1">
      <alignment horizontal="right"/>
    </xf>
    <xf numFmtId="4" fontId="5" fillId="0" borderId="0" xfId="58" applyNumberFormat="1" applyFont="1" applyFill="1" applyBorder="1" applyAlignment="1">
      <alignment horizontal="right" wrapText="1"/>
    </xf>
    <xf numFmtId="4" fontId="6" fillId="0" borderId="0" xfId="58" applyNumberFormat="1" applyFont="1" applyFill="1" applyBorder="1" applyAlignment="1">
      <alignment horizontal="right" wrapText="1"/>
    </xf>
    <xf numFmtId="4" fontId="6" fillId="0" borderId="0" xfId="58" applyNumberFormat="1" applyFont="1" applyFill="1" applyBorder="1" applyAlignment="1">
      <alignment horizontal="right"/>
    </xf>
    <xf numFmtId="0" fontId="25" fillId="0" borderId="0" xfId="58" applyFont="1" applyFill="1" applyAlignment="1">
      <alignment horizontal="center" wrapText="1"/>
    </xf>
    <xf numFmtId="0" fontId="5" fillId="7" borderId="0" xfId="58" applyFont="1" applyFill="1" applyAlignment="1">
      <alignment horizontal="right" wrapText="1"/>
    </xf>
    <xf numFmtId="4" fontId="5" fillId="7" borderId="0" xfId="58" applyNumberFormat="1" applyFont="1" applyFill="1" applyBorder="1" applyAlignment="1">
      <alignment horizontal="right" wrapText="1"/>
    </xf>
    <xf numFmtId="0" fontId="5" fillId="8" borderId="0" xfId="58" applyFont="1" applyFill="1" applyAlignment="1">
      <alignment horizontal="right"/>
    </xf>
    <xf numFmtId="0" fontId="6" fillId="7" borderId="0" xfId="58" applyFont="1" applyFill="1" applyAlignment="1">
      <alignment horizontal="right" wrapText="1"/>
    </xf>
    <xf numFmtId="0" fontId="4" fillId="0" borderId="0" xfId="58" applyFont="1" applyFill="1" applyAlignment="1"/>
    <xf numFmtId="0" fontId="5" fillId="8" borderId="0" xfId="58" applyFont="1" applyFill="1" applyAlignment="1">
      <alignment horizontal="right" wrapText="1"/>
    </xf>
    <xf numFmtId="0" fontId="5" fillId="0" borderId="0" xfId="58" applyFont="1" applyFill="1" applyAlignment="1">
      <alignment horizontal="left" wrapText="1"/>
    </xf>
    <xf numFmtId="2" fontId="5" fillId="0" borderId="0" xfId="58" applyNumberFormat="1" applyFont="1" applyFill="1" applyAlignment="1">
      <alignment horizontal="right"/>
    </xf>
    <xf numFmtId="0" fontId="5" fillId="0" borderId="0" xfId="58" applyFont="1" applyFill="1" applyAlignment="1">
      <alignment horizontal="left" vertical="top" wrapText="1"/>
    </xf>
    <xf numFmtId="0" fontId="32" fillId="0" borderId="0" xfId="58" applyFont="1" applyFill="1" applyAlignment="1">
      <alignment horizontal="center" wrapText="1"/>
    </xf>
    <xf numFmtId="0" fontId="32" fillId="0" borderId="0" xfId="58" applyFont="1" applyFill="1" applyAlignment="1">
      <alignment horizontal="right" wrapText="1"/>
    </xf>
    <xf numFmtId="0" fontId="25" fillId="0" borderId="3" xfId="58" applyFont="1" applyFill="1" applyBorder="1" applyAlignment="1">
      <alignment horizontal="center"/>
    </xf>
    <xf numFmtId="0" fontId="17" fillId="0" borderId="1" xfId="58" applyFont="1" applyFill="1" applyBorder="1" applyAlignment="1">
      <alignment horizontal="center" vertical="center" wrapText="1"/>
    </xf>
    <xf numFmtId="0" fontId="17" fillId="0" borderId="15" xfId="58" applyFont="1" applyFill="1" applyBorder="1" applyAlignment="1">
      <alignment horizontal="center" vertical="center" wrapText="1"/>
    </xf>
    <xf numFmtId="0" fontId="17" fillId="0" borderId="2" xfId="58" applyFont="1" applyFill="1" applyBorder="1" applyAlignment="1">
      <alignment horizontal="center" vertical="center" wrapText="1"/>
    </xf>
    <xf numFmtId="0" fontId="5" fillId="0" borderId="0" xfId="58" applyFont="1" applyFill="1" applyAlignment="1">
      <alignment horizontal="center" wrapText="1"/>
    </xf>
    <xf numFmtId="0" fontId="86" fillId="0" borderId="0" xfId="58" applyFont="1" applyFill="1" applyAlignment="1">
      <alignment horizontal="left"/>
    </xf>
    <xf numFmtId="49" fontId="17" fillId="0" borderId="1" xfId="58" applyNumberFormat="1" applyFont="1" applyFill="1" applyBorder="1" applyAlignment="1">
      <alignment horizontal="center" vertical="center" wrapText="1"/>
    </xf>
    <xf numFmtId="0" fontId="17" fillId="0" borderId="16" xfId="58" applyFont="1" applyFill="1" applyBorder="1" applyAlignment="1">
      <alignment horizontal="center" vertical="center" wrapText="1"/>
    </xf>
    <xf numFmtId="0" fontId="17" fillId="0" borderId="26" xfId="58" applyFont="1" applyFill="1" applyBorder="1" applyAlignment="1">
      <alignment horizontal="center" vertical="center" wrapText="1"/>
    </xf>
    <xf numFmtId="0" fontId="17" fillId="0" borderId="17" xfId="58" applyFont="1" applyFill="1" applyBorder="1" applyAlignment="1">
      <alignment horizontal="center" vertical="center" wrapText="1"/>
    </xf>
    <xf numFmtId="0" fontId="28" fillId="0" borderId="0" xfId="58" applyFont="1" applyFill="1" applyAlignment="1">
      <alignment horizontal="center"/>
    </xf>
    <xf numFmtId="0" fontId="4" fillId="0" borderId="0" xfId="58" applyFont="1" applyFill="1" applyAlignment="1">
      <alignment horizontal="right"/>
    </xf>
    <xf numFmtId="0" fontId="4" fillId="0" borderId="5" xfId="58" applyFont="1" applyFill="1" applyBorder="1" applyAlignment="1">
      <alignment horizontal="right"/>
    </xf>
    <xf numFmtId="0" fontId="27" fillId="0" borderId="0" xfId="58" applyFont="1" applyFill="1" applyAlignment="1">
      <alignment horizontal="center" wrapText="1"/>
    </xf>
    <xf numFmtId="0" fontId="5" fillId="0" borderId="0" xfId="58" applyFont="1" applyFill="1" applyBorder="1" applyAlignment="1">
      <alignment horizontal="left"/>
    </xf>
    <xf numFmtId="0" fontId="86" fillId="0" borderId="0" xfId="58" applyFont="1" applyFill="1" applyAlignment="1">
      <alignment horizontal="left" vertical="center" wrapText="1"/>
    </xf>
    <xf numFmtId="2" fontId="86" fillId="0" borderId="0" xfId="58" applyNumberFormat="1" applyFont="1" applyFill="1" applyBorder="1" applyAlignment="1">
      <alignment horizontal="left" wrapText="1"/>
    </xf>
    <xf numFmtId="0" fontId="86" fillId="0" borderId="0" xfId="58" applyFont="1" applyFill="1" applyAlignment="1">
      <alignment wrapText="1"/>
    </xf>
    <xf numFmtId="0" fontId="11" fillId="0" borderId="0" xfId="49" applyFill="1" applyAlignment="1">
      <alignment wrapText="1"/>
    </xf>
    <xf numFmtId="0" fontId="96" fillId="0" borderId="0" xfId="49" applyFont="1" applyAlignment="1">
      <alignment horizontal="center" vertical="center" wrapText="1"/>
    </xf>
    <xf numFmtId="0" fontId="11" fillId="0" borderId="0" xfId="49" applyFill="1" applyAlignment="1">
      <alignment horizontal="left" vertical="center" wrapText="1"/>
    </xf>
    <xf numFmtId="0" fontId="11" fillId="0" borderId="0" xfId="49" applyFill="1" applyAlignment="1"/>
    <xf numFmtId="0" fontId="11" fillId="0" borderId="0" xfId="49" applyFont="1" applyFill="1" applyAlignment="1">
      <alignment horizontal="center" vertical="center" wrapText="1"/>
    </xf>
    <xf numFmtId="0" fontId="11" fillId="0" borderId="0" xfId="49" applyFill="1" applyAlignment="1">
      <alignment horizontal="center" vertical="center" wrapText="1"/>
    </xf>
    <xf numFmtId="0" fontId="96" fillId="0" borderId="0" xfId="49" applyFont="1" applyFill="1" applyAlignment="1">
      <alignment horizontal="center" vertical="center" wrapText="1"/>
    </xf>
    <xf numFmtId="0" fontId="97" fillId="0" borderId="0" xfId="49" applyFont="1" applyAlignment="1">
      <alignment horizontal="left"/>
    </xf>
    <xf numFmtId="0" fontId="32" fillId="0" borderId="0" xfId="49" applyFont="1" applyFill="1" applyBorder="1" applyAlignment="1">
      <alignment horizontal="center" vertical="top" wrapText="1"/>
    </xf>
    <xf numFmtId="0" fontId="75" fillId="0" borderId="0" xfId="49" applyFont="1" applyFill="1" applyAlignment="1">
      <alignment horizontal="left" wrapText="1"/>
    </xf>
    <xf numFmtId="0" fontId="76" fillId="0" borderId="0" xfId="49" applyFont="1" applyFill="1" applyAlignment="1">
      <alignment horizontal="center" wrapText="1"/>
    </xf>
    <xf numFmtId="0" fontId="103" fillId="0" borderId="0" xfId="49" applyFont="1" applyFill="1" applyBorder="1" applyAlignment="1">
      <alignment horizontal="center" wrapText="1"/>
    </xf>
    <xf numFmtId="0" fontId="25" fillId="0" borderId="1" xfId="46" applyFont="1" applyBorder="1" applyAlignment="1">
      <alignment horizontal="right" wrapText="1"/>
    </xf>
    <xf numFmtId="0" fontId="28" fillId="0" borderId="0" xfId="46" applyFont="1" applyBorder="1" applyAlignment="1">
      <alignment horizontal="center" wrapText="1"/>
    </xf>
    <xf numFmtId="0" fontId="25" fillId="0" borderId="4" xfId="46" applyFont="1" applyBorder="1" applyAlignment="1">
      <alignment horizontal="center" wrapText="1"/>
    </xf>
    <xf numFmtId="0" fontId="25" fillId="0" borderId="16" xfId="46" applyFont="1" applyBorder="1" applyAlignment="1">
      <alignment horizontal="right" wrapText="1"/>
    </xf>
    <xf numFmtId="0" fontId="25" fillId="0" borderId="26" xfId="46" applyFont="1" applyBorder="1" applyAlignment="1">
      <alignment horizontal="right" wrapText="1"/>
    </xf>
    <xf numFmtId="0" fontId="25" fillId="0" borderId="17" xfId="46" applyFont="1" applyBorder="1" applyAlignment="1">
      <alignment horizontal="right" wrapText="1"/>
    </xf>
    <xf numFmtId="0" fontId="6" fillId="0" borderId="3" xfId="46" applyFont="1" applyBorder="1" applyAlignment="1">
      <alignment horizontal="center" wrapText="1"/>
    </xf>
    <xf numFmtId="0" fontId="28" fillId="0" borderId="16" xfId="46" applyFont="1" applyBorder="1" applyAlignment="1">
      <alignment horizontal="right" wrapText="1"/>
    </xf>
    <xf numFmtId="0" fontId="28" fillId="0" borderId="26" xfId="46" applyFont="1" applyBorder="1" applyAlignment="1">
      <alignment horizontal="right" wrapText="1"/>
    </xf>
    <xf numFmtId="0" fontId="28" fillId="0" borderId="17" xfId="46" applyFont="1" applyBorder="1" applyAlignment="1">
      <alignment horizontal="right" wrapText="1"/>
    </xf>
    <xf numFmtId="0" fontId="122" fillId="0" borderId="0" xfId="0" applyFont="1" applyAlignment="1">
      <alignment horizontal="center" vertical="center" wrapText="1"/>
    </xf>
    <xf numFmtId="4" fontId="8" fillId="0" borderId="16" xfId="47" applyNumberFormat="1" applyBorder="1" applyAlignment="1">
      <alignment horizontal="center"/>
    </xf>
    <xf numFmtId="4" fontId="8" fillId="0" borderId="17" xfId="47" applyNumberFormat="1" applyBorder="1" applyAlignment="1">
      <alignment horizontal="center"/>
    </xf>
    <xf numFmtId="176" fontId="60" fillId="0" borderId="0" xfId="47" applyNumberFormat="1" applyFont="1" applyFill="1" applyAlignment="1">
      <alignment horizontal="center" wrapText="1"/>
    </xf>
    <xf numFmtId="0" fontId="25" fillId="0" borderId="0" xfId="48" applyFont="1" applyFill="1" applyAlignment="1">
      <alignment horizontal="center" wrapText="1"/>
    </xf>
    <xf numFmtId="176" fontId="52" fillId="0" borderId="0" xfId="47" applyNumberFormat="1" applyFont="1" applyFill="1" applyAlignment="1">
      <alignment horizontal="center"/>
    </xf>
    <xf numFmtId="4" fontId="8" fillId="0" borderId="16" xfId="47" applyNumberFormat="1" applyBorder="1" applyAlignment="1">
      <alignment horizontal="center" vertical="center" wrapText="1"/>
    </xf>
    <xf numFmtId="4" fontId="8" fillId="0" borderId="17" xfId="47" applyNumberFormat="1" applyBorder="1" applyAlignment="1">
      <alignment horizontal="center" vertical="center" wrapText="1"/>
    </xf>
    <xf numFmtId="4" fontId="8" fillId="0" borderId="16" xfId="47" applyNumberFormat="1" applyFill="1" applyBorder="1" applyAlignment="1">
      <alignment horizontal="center"/>
    </xf>
    <xf numFmtId="4" fontId="8" fillId="0" borderId="17" xfId="47" applyNumberFormat="1" applyFill="1" applyBorder="1" applyAlignment="1">
      <alignment horizontal="center"/>
    </xf>
    <xf numFmtId="4" fontId="57" fillId="5" borderId="1" xfId="47" applyNumberFormat="1" applyFont="1" applyFill="1" applyBorder="1" applyAlignment="1">
      <alignment horizontal="center"/>
    </xf>
    <xf numFmtId="4" fontId="63" fillId="5" borderId="16" xfId="47" applyNumberFormat="1" applyFont="1" applyFill="1" applyBorder="1" applyAlignment="1">
      <alignment horizontal="center"/>
    </xf>
    <xf numFmtId="4" fontId="63" fillId="5" borderId="17" xfId="47" applyNumberFormat="1" applyFont="1" applyFill="1" applyBorder="1" applyAlignment="1">
      <alignment horizontal="center"/>
    </xf>
    <xf numFmtId="4" fontId="63" fillId="0" borderId="16" xfId="47" applyNumberFormat="1" applyFont="1" applyBorder="1" applyAlignment="1">
      <alignment horizontal="center"/>
    </xf>
    <xf numFmtId="4" fontId="63" fillId="0" borderId="17" xfId="47" applyNumberFormat="1" applyFont="1" applyBorder="1" applyAlignment="1">
      <alignment horizontal="center"/>
    </xf>
    <xf numFmtId="4" fontId="63" fillId="5" borderId="1" xfId="47" applyNumberFormat="1" applyFont="1" applyFill="1" applyBorder="1" applyAlignment="1">
      <alignment horizontal="center"/>
    </xf>
    <xf numFmtId="4" fontId="65" fillId="0" borderId="4" xfId="47" applyNumberFormat="1" applyFont="1" applyFill="1" applyBorder="1" applyAlignment="1">
      <alignment horizontal="center"/>
    </xf>
    <xf numFmtId="176" fontId="57" fillId="0" borderId="1" xfId="47" applyNumberFormat="1" applyFont="1" applyBorder="1" applyAlignment="1">
      <alignment horizontal="right" wrapText="1"/>
    </xf>
    <xf numFmtId="176" fontId="57" fillId="0" borderId="16" xfId="47" applyNumberFormat="1" applyFont="1" applyBorder="1" applyAlignment="1">
      <alignment horizontal="left" wrapText="1"/>
    </xf>
    <xf numFmtId="176" fontId="57" fillId="0" borderId="26" xfId="47" applyNumberFormat="1" applyFont="1" applyBorder="1" applyAlignment="1">
      <alignment horizontal="left" wrapText="1"/>
    </xf>
    <xf numFmtId="176" fontId="57" fillId="0" borderId="17" xfId="47" applyNumberFormat="1" applyFont="1" applyBorder="1" applyAlignment="1">
      <alignment horizontal="left" wrapText="1"/>
    </xf>
    <xf numFmtId="176" fontId="57" fillId="0" borderId="0" xfId="47" applyNumberFormat="1" applyFont="1" applyBorder="1" applyAlignment="1">
      <alignment horizontal="left" wrapText="1"/>
    </xf>
    <xf numFmtId="176" fontId="8" fillId="0" borderId="1" xfId="47" applyNumberFormat="1" applyBorder="1" applyAlignment="1">
      <alignment horizontal="left" wrapText="1"/>
    </xf>
    <xf numFmtId="4" fontId="8" fillId="0" borderId="1" xfId="47" applyNumberFormat="1" applyBorder="1" applyAlignment="1">
      <alignment horizontal="center" vertical="center" wrapText="1"/>
    </xf>
    <xf numFmtId="4" fontId="66" fillId="0" borderId="0" xfId="47" applyNumberFormat="1" applyFont="1" applyAlignment="1">
      <alignment horizontal="center"/>
    </xf>
    <xf numFmtId="4" fontId="66" fillId="0" borderId="16" xfId="47" applyNumberFormat="1" applyFont="1" applyBorder="1" applyAlignment="1">
      <alignment horizontal="center"/>
    </xf>
    <xf numFmtId="4" fontId="66" fillId="0" borderId="17" xfId="47" applyNumberFormat="1" applyFont="1" applyBorder="1" applyAlignment="1">
      <alignment horizontal="center"/>
    </xf>
    <xf numFmtId="176" fontId="57" fillId="6" borderId="16" xfId="47" applyNumberFormat="1" applyFont="1" applyFill="1" applyBorder="1" applyAlignment="1">
      <alignment horizontal="right" wrapText="1"/>
    </xf>
    <xf numFmtId="176" fontId="57" fillId="6" borderId="26" xfId="47" applyNumberFormat="1" applyFont="1" applyFill="1" applyBorder="1" applyAlignment="1">
      <alignment horizontal="right" wrapText="1"/>
    </xf>
    <xf numFmtId="176" fontId="57" fillId="6" borderId="17" xfId="47" applyNumberFormat="1" applyFont="1" applyFill="1" applyBorder="1" applyAlignment="1">
      <alignment horizontal="right" wrapText="1"/>
    </xf>
    <xf numFmtId="176" fontId="63" fillId="0" borderId="0" xfId="47" applyNumberFormat="1" applyFont="1" applyAlignment="1">
      <alignment horizontal="right"/>
    </xf>
    <xf numFmtId="4" fontId="11" fillId="0" borderId="1" xfId="47" applyNumberFormat="1" applyFont="1" applyBorder="1" applyAlignment="1">
      <alignment horizontal="center" vertical="center" wrapText="1"/>
    </xf>
    <xf numFmtId="4" fontId="8" fillId="0" borderId="26" xfId="47" applyNumberFormat="1" applyBorder="1" applyAlignment="1">
      <alignment horizontal="center"/>
    </xf>
    <xf numFmtId="176" fontId="57" fillId="0" borderId="16" xfId="47" applyNumberFormat="1" applyFont="1" applyBorder="1" applyAlignment="1">
      <alignment horizontal="right" wrapText="1"/>
    </xf>
    <xf numFmtId="176" fontId="57" fillId="0" borderId="26" xfId="47" applyNumberFormat="1" applyFont="1" applyBorder="1" applyAlignment="1">
      <alignment horizontal="right" wrapText="1"/>
    </xf>
    <xf numFmtId="176" fontId="57" fillId="0" borderId="17" xfId="47" applyNumberFormat="1" applyFont="1" applyBorder="1" applyAlignment="1">
      <alignment horizontal="right" wrapText="1"/>
    </xf>
    <xf numFmtId="0" fontId="25" fillId="0" borderId="0" xfId="46" applyFont="1" applyBorder="1" applyAlignment="1">
      <alignment horizontal="center" wrapText="1"/>
    </xf>
    <xf numFmtId="0" fontId="23" fillId="0" borderId="0" xfId="0" applyFont="1" applyAlignment="1">
      <alignment horizontal="center" wrapText="1"/>
    </xf>
    <xf numFmtId="0" fontId="23" fillId="0" borderId="16" xfId="0" applyFont="1" applyFill="1" applyBorder="1" applyAlignment="1">
      <alignment horizontal="right"/>
    </xf>
    <xf numFmtId="0" fontId="23" fillId="0" borderId="26" xfId="0" applyFont="1" applyFill="1" applyBorder="1" applyAlignment="1">
      <alignment horizontal="right"/>
    </xf>
    <xf numFmtId="0" fontId="23" fillId="0" borderId="17" xfId="0" applyFont="1" applyFill="1" applyBorder="1" applyAlignment="1">
      <alignment horizontal="right"/>
    </xf>
    <xf numFmtId="0" fontId="120" fillId="0" borderId="0" xfId="0" applyFont="1" applyAlignment="1">
      <alignment horizontal="left" wrapText="1"/>
    </xf>
    <xf numFmtId="0" fontId="28" fillId="0" borderId="0" xfId="47" applyFont="1" applyAlignment="1">
      <alignment horizontal="center" wrapText="1"/>
    </xf>
    <xf numFmtId="0" fontId="25" fillId="0" borderId="1" xfId="47" applyFont="1" applyBorder="1" applyAlignment="1">
      <alignment horizontal="right"/>
    </xf>
    <xf numFmtId="0" fontId="25" fillId="0" borderId="3" xfId="46" applyFont="1" applyBorder="1" applyAlignment="1">
      <alignment horizontal="center" wrapText="1"/>
    </xf>
    <xf numFmtId="0" fontId="25" fillId="0" borderId="0" xfId="46" applyFont="1" applyFill="1" applyBorder="1" applyAlignment="1">
      <alignment horizontal="center" wrapText="1"/>
    </xf>
    <xf numFmtId="0" fontId="25" fillId="0" borderId="0" xfId="46" applyFont="1" applyFill="1" applyAlignment="1">
      <alignment horizontal="center" vertical="top" wrapText="1"/>
    </xf>
    <xf numFmtId="0" fontId="25" fillId="0" borderId="0" xfId="47" applyFont="1" applyFill="1" applyAlignment="1">
      <alignment horizontal="left" wrapText="1"/>
    </xf>
    <xf numFmtId="4" fontId="25" fillId="0" borderId="16" xfId="0" applyNumberFormat="1" applyFont="1" applyFill="1" applyBorder="1" applyAlignment="1">
      <alignment horizontal="center" vertical="center" wrapText="1"/>
    </xf>
    <xf numFmtId="4" fontId="25" fillId="0" borderId="26" xfId="0" applyNumberFormat="1" applyFont="1" applyFill="1" applyBorder="1" applyAlignment="1">
      <alignment horizontal="center" vertical="center" wrapText="1"/>
    </xf>
    <xf numFmtId="4" fontId="25" fillId="0" borderId="17" xfId="0" applyNumberFormat="1" applyFont="1" applyFill="1" applyBorder="1" applyAlignment="1">
      <alignment horizontal="center" vertical="center" wrapText="1"/>
    </xf>
    <xf numFmtId="4" fontId="25" fillId="0" borderId="15" xfId="0" applyNumberFormat="1" applyFont="1" applyFill="1" applyBorder="1" applyAlignment="1">
      <alignment horizontal="center" vertical="center" wrapText="1"/>
    </xf>
    <xf numFmtId="4" fontId="25" fillId="0" borderId="20" xfId="0" applyNumberFormat="1" applyFont="1" applyFill="1" applyBorder="1" applyAlignment="1">
      <alignment horizontal="center" vertical="center" wrapText="1"/>
    </xf>
    <xf numFmtId="4" fontId="25" fillId="0" borderId="2" xfId="0" applyNumberFormat="1" applyFont="1" applyFill="1" applyBorder="1" applyAlignment="1">
      <alignment horizontal="center" vertical="center" wrapText="1"/>
    </xf>
    <xf numFmtId="4" fontId="22" fillId="0" borderId="16" xfId="0" applyNumberFormat="1" applyFont="1" applyFill="1" applyBorder="1" applyAlignment="1">
      <alignment horizontal="center" vertical="center" wrapText="1"/>
    </xf>
    <xf numFmtId="4" fontId="22" fillId="0" borderId="26" xfId="0" applyNumberFormat="1" applyFont="1" applyFill="1" applyBorder="1" applyAlignment="1">
      <alignment horizontal="center" vertical="center" wrapText="1"/>
    </xf>
    <xf numFmtId="4" fontId="22" fillId="0" borderId="17" xfId="0" applyNumberFormat="1" applyFont="1" applyFill="1" applyBorder="1" applyAlignment="1">
      <alignment horizontal="center" vertical="center" wrapText="1"/>
    </xf>
    <xf numFmtId="0" fontId="25" fillId="0" borderId="4" xfId="46" applyFont="1" applyFill="1" applyBorder="1" applyAlignment="1">
      <alignment horizontal="center" vertical="top" wrapText="1"/>
    </xf>
    <xf numFmtId="0" fontId="25" fillId="0" borderId="3" xfId="46" applyFont="1" applyFill="1" applyBorder="1" applyAlignment="1">
      <alignment horizontal="center" wrapText="1"/>
    </xf>
    <xf numFmtId="0" fontId="25" fillId="0" borderId="3" xfId="46" applyFont="1" applyFill="1" applyBorder="1" applyAlignment="1">
      <alignment horizontal="center" vertical="top" wrapText="1"/>
    </xf>
    <xf numFmtId="4" fontId="25" fillId="0" borderId="18" xfId="0" applyNumberFormat="1" applyFont="1" applyFill="1" applyBorder="1" applyAlignment="1">
      <alignment horizontal="center" vertical="center" wrapText="1"/>
    </xf>
    <xf numFmtId="4" fontId="25" fillId="0" borderId="4" xfId="0" applyNumberFormat="1" applyFont="1" applyFill="1" applyBorder="1" applyAlignment="1">
      <alignment horizontal="center" vertical="center" wrapText="1"/>
    </xf>
    <xf numFmtId="4" fontId="25" fillId="0" borderId="74" xfId="0" applyNumberFormat="1" applyFont="1" applyFill="1" applyBorder="1" applyAlignment="1">
      <alignment horizontal="center" vertical="center" wrapText="1"/>
    </xf>
    <xf numFmtId="4" fontId="25" fillId="0" borderId="7" xfId="0" applyNumberFormat="1" applyFont="1" applyFill="1" applyBorder="1" applyAlignment="1">
      <alignment horizontal="center" vertical="center" wrapText="1"/>
    </xf>
    <xf numFmtId="4" fontId="25" fillId="0" borderId="3" xfId="0" applyNumberFormat="1" applyFont="1" applyFill="1" applyBorder="1" applyAlignment="1">
      <alignment horizontal="center" vertical="center" wrapText="1"/>
    </xf>
    <xf numFmtId="4" fontId="25" fillId="0" borderId="8" xfId="0" applyNumberFormat="1" applyFont="1" applyFill="1" applyBorder="1" applyAlignment="1">
      <alignment horizontal="center" vertical="center" wrapText="1"/>
    </xf>
    <xf numFmtId="4" fontId="25" fillId="0" borderId="7" xfId="0" applyNumberFormat="1" applyFont="1" applyFill="1" applyBorder="1" applyAlignment="1">
      <alignment horizontal="center"/>
    </xf>
    <xf numFmtId="4" fontId="25" fillId="0" borderId="3" xfId="0" applyNumberFormat="1" applyFont="1" applyFill="1" applyBorder="1" applyAlignment="1">
      <alignment horizontal="center"/>
    </xf>
    <xf numFmtId="4" fontId="25" fillId="0" borderId="8" xfId="0" applyNumberFormat="1" applyFont="1" applyFill="1" applyBorder="1" applyAlignment="1">
      <alignment horizontal="center"/>
    </xf>
    <xf numFmtId="4" fontId="22" fillId="0" borderId="1" xfId="0" applyNumberFormat="1" applyFont="1" applyFill="1" applyBorder="1" applyAlignment="1">
      <alignment horizontal="center" vertical="center" wrapText="1"/>
    </xf>
    <xf numFmtId="4" fontId="25" fillId="0" borderId="2" xfId="0" applyNumberFormat="1" applyFont="1" applyFill="1" applyBorder="1" applyAlignment="1">
      <alignment horizontal="center"/>
    </xf>
    <xf numFmtId="4" fontId="25" fillId="0" borderId="1" xfId="0" applyNumberFormat="1" applyFont="1" applyFill="1" applyBorder="1" applyAlignment="1">
      <alignment horizontal="center" vertical="center" wrapText="1"/>
    </xf>
    <xf numFmtId="0" fontId="28" fillId="0" borderId="0" xfId="0" applyFont="1" applyFill="1" applyBorder="1" applyAlignment="1">
      <alignment horizontal="center"/>
    </xf>
    <xf numFmtId="4" fontId="25" fillId="0" borderId="1" xfId="0" applyNumberFormat="1" applyFont="1" applyFill="1" applyBorder="1" applyAlignment="1">
      <alignment horizontal="center"/>
    </xf>
    <xf numFmtId="0" fontId="23" fillId="0" borderId="0" xfId="0" applyFont="1" applyAlignment="1">
      <alignment horizontal="center" vertical="center" wrapText="1"/>
    </xf>
    <xf numFmtId="0" fontId="22" fillId="0" borderId="16" xfId="0" applyFont="1" applyBorder="1" applyAlignment="1">
      <alignment horizontal="right" wrapText="1"/>
    </xf>
    <xf numFmtId="0" fontId="22" fillId="0" borderId="26" xfId="0" applyFont="1" applyBorder="1" applyAlignment="1">
      <alignment horizontal="right" wrapText="1"/>
    </xf>
    <xf numFmtId="0" fontId="22" fillId="0" borderId="17" xfId="0" applyFont="1" applyBorder="1" applyAlignment="1">
      <alignment horizontal="right" wrapText="1"/>
    </xf>
    <xf numFmtId="0" fontId="28" fillId="0" borderId="3" xfId="47" applyFont="1" applyFill="1" applyBorder="1" applyAlignment="1">
      <alignment horizontal="center"/>
    </xf>
    <xf numFmtId="0" fontId="28" fillId="0" borderId="16" xfId="47" applyFont="1" applyFill="1" applyBorder="1" applyAlignment="1">
      <alignment horizontal="right"/>
    </xf>
    <xf numFmtId="0" fontId="28" fillId="0" borderId="26" xfId="47" applyFont="1" applyFill="1" applyBorder="1" applyAlignment="1">
      <alignment horizontal="right"/>
    </xf>
    <xf numFmtId="0" fontId="28" fillId="0" borderId="17" xfId="47" applyFont="1" applyFill="1" applyBorder="1" applyAlignment="1">
      <alignment horizontal="right"/>
    </xf>
    <xf numFmtId="0" fontId="23" fillId="0" borderId="3" xfId="0" applyFont="1" applyFill="1" applyBorder="1" applyAlignment="1">
      <alignment horizontal="center"/>
    </xf>
    <xf numFmtId="0" fontId="28" fillId="0" borderId="16" xfId="47" applyFont="1" applyFill="1" applyBorder="1" applyAlignment="1">
      <alignment horizontal="right" vertical="top"/>
    </xf>
    <xf numFmtId="0" fontId="28" fillId="0" borderId="26" xfId="47" applyFont="1" applyFill="1" applyBorder="1" applyAlignment="1">
      <alignment horizontal="right" vertical="top"/>
    </xf>
    <xf numFmtId="0" fontId="28" fillId="0" borderId="17" xfId="47" applyFont="1" applyFill="1" applyBorder="1" applyAlignment="1">
      <alignment horizontal="right" vertical="top"/>
    </xf>
    <xf numFmtId="0" fontId="28" fillId="0" borderId="16" xfId="66" applyFont="1" applyFill="1" applyBorder="1" applyAlignment="1">
      <alignment horizontal="right" vertical="center" wrapText="1"/>
    </xf>
    <xf numFmtId="0" fontId="28" fillId="0" borderId="26" xfId="66" applyFont="1" applyFill="1" applyBorder="1" applyAlignment="1">
      <alignment horizontal="right" vertical="center" wrapText="1"/>
    </xf>
    <xf numFmtId="0" fontId="28" fillId="0" borderId="17" xfId="66" applyFont="1" applyFill="1" applyBorder="1" applyAlignment="1">
      <alignment horizontal="right" vertical="center" wrapText="1"/>
    </xf>
    <xf numFmtId="0" fontId="25" fillId="0" borderId="15" xfId="66" applyFont="1" applyBorder="1" applyAlignment="1">
      <alignment horizontal="center" vertical="center" wrapText="1"/>
    </xf>
    <xf numFmtId="0" fontId="25" fillId="0" borderId="2" xfId="66" applyFont="1" applyBorder="1" applyAlignment="1">
      <alignment horizontal="center" vertical="center" wrapText="1"/>
    </xf>
    <xf numFmtId="0" fontId="25" fillId="0" borderId="16" xfId="66" applyFont="1" applyBorder="1" applyAlignment="1">
      <alignment horizontal="center" vertical="center" wrapText="1"/>
    </xf>
    <xf numFmtId="0" fontId="25" fillId="0" borderId="26" xfId="66" applyFont="1" applyBorder="1" applyAlignment="1">
      <alignment horizontal="center" vertical="center" wrapText="1"/>
    </xf>
    <xf numFmtId="0" fontId="25" fillId="0" borderId="17" xfId="66" applyFont="1" applyBorder="1" applyAlignment="1">
      <alignment horizontal="center" vertical="center" wrapText="1"/>
    </xf>
    <xf numFmtId="0" fontId="28" fillId="0" borderId="0" xfId="47" applyFont="1" applyAlignment="1">
      <alignment horizontal="center" vertical="center" wrapText="1"/>
    </xf>
    <xf numFmtId="0" fontId="28" fillId="0" borderId="0" xfId="47" applyFont="1" applyAlignment="1">
      <alignment horizontal="center"/>
    </xf>
    <xf numFmtId="4" fontId="28" fillId="0" borderId="16" xfId="47" applyNumberFormat="1" applyFont="1" applyBorder="1" applyAlignment="1">
      <alignment horizontal="right"/>
    </xf>
    <xf numFmtId="4" fontId="28" fillId="0" borderId="17" xfId="47" applyNumberFormat="1" applyFont="1" applyBorder="1" applyAlignment="1">
      <alignment horizontal="right"/>
    </xf>
    <xf numFmtId="0" fontId="41" fillId="0" borderId="18" xfId="47" applyFont="1" applyBorder="1" applyAlignment="1">
      <alignment horizontal="center" vertical="top" wrapText="1"/>
    </xf>
    <xf numFmtId="0" fontId="25" fillId="0" borderId="74" xfId="47" applyFont="1" applyBorder="1" applyAlignment="1">
      <alignment horizontal="center" vertical="top" wrapText="1"/>
    </xf>
    <xf numFmtId="0" fontId="5" fillId="0" borderId="16" xfId="47" applyFont="1" applyBorder="1" applyAlignment="1">
      <alignment horizontal="center"/>
    </xf>
    <xf numFmtId="0" fontId="5" fillId="0" borderId="26" xfId="47" applyFont="1" applyBorder="1" applyAlignment="1">
      <alignment horizontal="center"/>
    </xf>
    <xf numFmtId="0" fontId="5" fillId="0" borderId="17" xfId="47" applyFont="1" applyBorder="1" applyAlignment="1">
      <alignment horizontal="center"/>
    </xf>
    <xf numFmtId="0" fontId="28" fillId="0" borderId="1" xfId="47" applyFont="1" applyBorder="1" applyAlignment="1">
      <alignment horizontal="right"/>
    </xf>
    <xf numFmtId="0" fontId="41" fillId="0" borderId="16" xfId="47" applyFont="1" applyBorder="1" applyAlignment="1">
      <alignment horizontal="center" vertical="top" wrapText="1"/>
    </xf>
    <xf numFmtId="0" fontId="25" fillId="0" borderId="17" xfId="47" applyFont="1" applyBorder="1" applyAlignment="1">
      <alignment horizontal="center" vertical="top" wrapText="1"/>
    </xf>
    <xf numFmtId="0" fontId="28" fillId="0" borderId="16" xfId="47" applyFont="1" applyBorder="1" applyAlignment="1">
      <alignment horizontal="center" vertical="top" wrapText="1"/>
    </xf>
    <xf numFmtId="0" fontId="28" fillId="0" borderId="26" xfId="47" applyFont="1" applyBorder="1" applyAlignment="1">
      <alignment horizontal="center" vertical="top" wrapText="1"/>
    </xf>
    <xf numFmtId="0" fontId="28" fillId="0" borderId="17" xfId="47" applyFont="1" applyBorder="1" applyAlignment="1">
      <alignment horizontal="center" vertical="top" wrapText="1"/>
    </xf>
    <xf numFmtId="0" fontId="6" fillId="0" borderId="16" xfId="47" applyFont="1" applyBorder="1" applyAlignment="1">
      <alignment horizontal="center"/>
    </xf>
    <xf numFmtId="0" fontId="6" fillId="0" borderId="26" xfId="47" applyFont="1" applyBorder="1" applyAlignment="1">
      <alignment horizontal="center"/>
    </xf>
    <xf numFmtId="0" fontId="6" fillId="0" borderId="17" xfId="47" applyFont="1" applyBorder="1" applyAlignment="1">
      <alignment horizontal="center"/>
    </xf>
    <xf numFmtId="0" fontId="41" fillId="0" borderId="26" xfId="47" applyFont="1" applyBorder="1" applyAlignment="1">
      <alignment horizontal="center" vertical="top" wrapText="1"/>
    </xf>
    <xf numFmtId="0" fontId="41" fillId="0" borderId="17" xfId="47" applyFont="1" applyBorder="1" applyAlignment="1">
      <alignment horizontal="center" vertical="top" wrapText="1"/>
    </xf>
    <xf numFmtId="0" fontId="117" fillId="0" borderId="16" xfId="0" applyFont="1" applyBorder="1" applyAlignment="1">
      <alignment horizontal="center" wrapText="1"/>
    </xf>
    <xf numFmtId="0" fontId="117" fillId="0" borderId="26" xfId="0" applyFont="1" applyBorder="1" applyAlignment="1">
      <alignment horizontal="center" wrapText="1"/>
    </xf>
    <xf numFmtId="0" fontId="117" fillId="0" borderId="17" xfId="0" applyFont="1" applyBorder="1" applyAlignment="1">
      <alignment horizontal="center" wrapText="1"/>
    </xf>
    <xf numFmtId="0" fontId="22" fillId="0" borderId="26" xfId="0" applyFont="1" applyBorder="1" applyAlignment="1">
      <alignment horizontal="center" wrapText="1"/>
    </xf>
    <xf numFmtId="0" fontId="22" fillId="0" borderId="17" xfId="0" applyFont="1" applyBorder="1" applyAlignment="1">
      <alignment horizontal="center" wrapText="1"/>
    </xf>
    <xf numFmtId="0" fontId="25" fillId="0" borderId="0" xfId="46" applyFont="1" applyBorder="1" applyAlignment="1">
      <alignment horizontal="center" vertical="top" wrapText="1"/>
    </xf>
    <xf numFmtId="0" fontId="28" fillId="0" borderId="16" xfId="47" applyFont="1" applyBorder="1" applyAlignment="1">
      <alignment horizontal="right" wrapText="1"/>
    </xf>
    <xf numFmtId="0" fontId="28" fillId="0" borderId="26" xfId="47" applyFont="1" applyBorder="1" applyAlignment="1">
      <alignment horizontal="right" wrapText="1"/>
    </xf>
    <xf numFmtId="0" fontId="28" fillId="0" borderId="17" xfId="47" applyFont="1" applyBorder="1" applyAlignment="1">
      <alignment horizontal="right" wrapText="1"/>
    </xf>
    <xf numFmtId="0" fontId="25" fillId="0" borderId="0" xfId="47" applyFont="1" applyAlignment="1">
      <alignment horizontal="right" wrapText="1"/>
    </xf>
    <xf numFmtId="0" fontId="25" fillId="0" borderId="0" xfId="47" applyFont="1" applyAlignment="1">
      <alignment horizontal="center" wrapText="1"/>
    </xf>
    <xf numFmtId="0" fontId="25" fillId="0" borderId="1" xfId="47" applyFont="1" applyBorder="1" applyAlignment="1">
      <alignment horizontal="right" wrapText="1"/>
    </xf>
    <xf numFmtId="0" fontId="25" fillId="0" borderId="3" xfId="47" applyFont="1" applyBorder="1" applyAlignment="1">
      <alignment horizontal="left" wrapText="1"/>
    </xf>
    <xf numFmtId="0" fontId="25" fillId="0" borderId="16" xfId="71" applyFont="1" applyFill="1" applyBorder="1" applyAlignment="1">
      <alignment horizontal="center" vertical="center" wrapText="1"/>
    </xf>
    <xf numFmtId="0" fontId="25" fillId="0" borderId="26" xfId="71" applyFont="1" applyFill="1" applyBorder="1" applyAlignment="1">
      <alignment horizontal="center" vertical="center" wrapText="1"/>
    </xf>
    <xf numFmtId="0" fontId="25" fillId="0" borderId="1" xfId="71" applyFont="1" applyFill="1" applyBorder="1" applyAlignment="1">
      <alignment horizontal="center" vertical="center" wrapText="1"/>
    </xf>
    <xf numFmtId="0" fontId="25" fillId="0" borderId="1" xfId="71" applyFont="1" applyFill="1" applyBorder="1" applyAlignment="1">
      <alignment horizontal="center" vertical="center"/>
    </xf>
    <xf numFmtId="2" fontId="27" fillId="0" borderId="16" xfId="71" applyNumberFormat="1" applyFont="1" applyFill="1" applyBorder="1" applyAlignment="1">
      <alignment horizontal="center" wrapText="1"/>
    </xf>
    <xf numFmtId="2" fontId="27" fillId="0" borderId="26" xfId="71" applyNumberFormat="1" applyFont="1" applyFill="1" applyBorder="1" applyAlignment="1">
      <alignment horizontal="center" wrapText="1"/>
    </xf>
    <xf numFmtId="2" fontId="27" fillId="0" borderId="17" xfId="71" applyNumberFormat="1" applyFont="1" applyFill="1" applyBorder="1" applyAlignment="1">
      <alignment horizontal="center" wrapText="1"/>
    </xf>
    <xf numFmtId="4" fontId="28" fillId="0" borderId="26" xfId="71" applyNumberFormat="1" applyFont="1" applyFill="1" applyBorder="1" applyAlignment="1">
      <alignment horizontal="right" vertical="center" wrapText="1"/>
    </xf>
    <xf numFmtId="4" fontId="28" fillId="0" borderId="17" xfId="71" applyNumberFormat="1" applyFont="1" applyFill="1" applyBorder="1" applyAlignment="1">
      <alignment horizontal="right" vertical="center" wrapText="1"/>
    </xf>
    <xf numFmtId="0" fontId="28" fillId="0" borderId="16" xfId="71" applyFont="1" applyFill="1" applyBorder="1" applyAlignment="1">
      <alignment horizontal="right"/>
    </xf>
    <xf numFmtId="0" fontId="28" fillId="0" borderId="26" xfId="71" applyFont="1" applyFill="1" applyBorder="1" applyAlignment="1">
      <alignment horizontal="right"/>
    </xf>
    <xf numFmtId="0" fontId="28" fillId="0" borderId="17" xfId="71" applyFont="1" applyFill="1" applyBorder="1" applyAlignment="1">
      <alignment horizontal="right"/>
    </xf>
    <xf numFmtId="0" fontId="23" fillId="0" borderId="16" xfId="56" applyFont="1" applyFill="1" applyBorder="1" applyAlignment="1">
      <alignment horizontal="right" vertical="top" wrapText="1"/>
    </xf>
    <xf numFmtId="0" fontId="23" fillId="0" borderId="26" xfId="56" applyFont="1" applyFill="1" applyBorder="1" applyAlignment="1">
      <alignment horizontal="right" vertical="top" wrapText="1"/>
    </xf>
    <xf numFmtId="0" fontId="23" fillId="0" borderId="17" xfId="56" applyFont="1" applyFill="1" applyBorder="1" applyAlignment="1">
      <alignment horizontal="right" vertical="top" wrapText="1"/>
    </xf>
    <xf numFmtId="0" fontId="27" fillId="0" borderId="26" xfId="71" applyFont="1" applyFill="1" applyBorder="1" applyAlignment="1">
      <alignment horizontal="center"/>
    </xf>
    <xf numFmtId="0" fontId="28" fillId="0" borderId="0" xfId="71" applyFont="1" applyFill="1" applyAlignment="1">
      <alignment horizontal="center" wrapText="1"/>
    </xf>
    <xf numFmtId="0" fontId="25" fillId="0" borderId="0" xfId="71" applyFont="1" applyFill="1" applyAlignment="1">
      <alignment horizontal="center" wrapText="1"/>
    </xf>
    <xf numFmtId="0" fontId="25" fillId="0" borderId="15" xfId="71" applyFont="1" applyFill="1" applyBorder="1" applyAlignment="1">
      <alignment horizontal="center" vertical="center" wrapText="1"/>
    </xf>
    <xf numFmtId="0" fontId="25" fillId="0" borderId="2" xfId="71" applyFont="1" applyFill="1" applyBorder="1" applyAlignment="1">
      <alignment horizontal="center" vertical="center" wrapText="1"/>
    </xf>
    <xf numFmtId="0" fontId="23" fillId="0" borderId="16" xfId="57" applyFont="1" applyFill="1" applyBorder="1" applyAlignment="1">
      <alignment horizontal="right" vertical="top" wrapText="1"/>
    </xf>
    <xf numFmtId="0" fontId="23" fillId="0" borderId="26" xfId="57" applyFont="1" applyFill="1" applyBorder="1" applyAlignment="1">
      <alignment horizontal="right" vertical="top" wrapText="1"/>
    </xf>
    <xf numFmtId="0" fontId="23" fillId="0" borderId="17" xfId="57" applyFont="1" applyFill="1" applyBorder="1" applyAlignment="1">
      <alignment horizontal="right" vertical="top"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25" fillId="2" borderId="1" xfId="47" applyFont="1" applyFill="1" applyBorder="1" applyAlignment="1">
      <alignment horizontal="center" vertical="center" shrinkToFit="1"/>
    </xf>
    <xf numFmtId="0" fontId="4" fillId="0" borderId="2" xfId="0" applyFont="1" applyFill="1" applyBorder="1" applyAlignment="1">
      <alignment horizontal="center" vertical="center" wrapText="1"/>
    </xf>
    <xf numFmtId="0" fontId="4" fillId="0" borderId="24" xfId="0" applyFont="1" applyFill="1" applyBorder="1" applyAlignment="1">
      <alignment horizontal="center" vertical="center" wrapText="1"/>
    </xf>
    <xf numFmtId="0" fontId="25" fillId="2" borderId="15" xfId="47" applyFont="1" applyFill="1" applyBorder="1" applyAlignment="1">
      <alignment horizontal="center" vertical="center"/>
    </xf>
    <xf numFmtId="0" fontId="25" fillId="2" borderId="20" xfId="47" applyFont="1" applyFill="1" applyBorder="1" applyAlignment="1">
      <alignment horizontal="center" vertical="center"/>
    </xf>
    <xf numFmtId="0" fontId="25" fillId="2" borderId="2" xfId="47" applyFont="1" applyFill="1" applyBorder="1" applyAlignment="1">
      <alignment horizontal="center" vertical="center"/>
    </xf>
    <xf numFmtId="0" fontId="4" fillId="0" borderId="20" xfId="0" applyFont="1" applyFill="1" applyBorder="1" applyAlignment="1">
      <alignment horizontal="left" vertical="center" wrapText="1"/>
    </xf>
    <xf numFmtId="0" fontId="4" fillId="0" borderId="43" xfId="0" applyFont="1" applyFill="1" applyBorder="1" applyAlignment="1">
      <alignment horizontal="left" vertical="center" wrapText="1"/>
    </xf>
    <xf numFmtId="0" fontId="25" fillId="0" borderId="1" xfId="47" applyFont="1" applyBorder="1" applyAlignment="1">
      <alignment horizontal="center" vertical="center" wrapText="1"/>
    </xf>
    <xf numFmtId="0" fontId="28" fillId="0" borderId="2" xfId="47" applyFont="1" applyBorder="1" applyAlignment="1">
      <alignment horizontal="right"/>
    </xf>
    <xf numFmtId="0" fontId="25" fillId="2" borderId="2" xfId="47" applyFont="1" applyFill="1" applyBorder="1" applyAlignment="1">
      <alignment horizontal="center" vertical="center" wrapText="1"/>
    </xf>
    <xf numFmtId="0" fontId="25" fillId="2" borderId="1" xfId="47" applyFont="1" applyFill="1" applyBorder="1" applyAlignment="1">
      <alignment horizontal="center" vertical="center" wrapText="1"/>
    </xf>
    <xf numFmtId="0" fontId="4" fillId="0" borderId="23" xfId="0" applyFont="1" applyFill="1" applyBorder="1" applyAlignment="1">
      <alignment horizontal="center" vertical="center" wrapText="1"/>
    </xf>
    <xf numFmtId="0" fontId="4" fillId="0" borderId="23" xfId="0" applyFont="1" applyFill="1" applyBorder="1" applyAlignment="1">
      <alignment horizontal="left" vertical="center" wrapText="1"/>
    </xf>
    <xf numFmtId="0" fontId="4" fillId="0" borderId="24" xfId="0" applyFont="1" applyFill="1" applyBorder="1" applyAlignment="1">
      <alignment horizontal="left" vertical="center" wrapText="1"/>
    </xf>
    <xf numFmtId="0" fontId="4" fillId="0" borderId="15" xfId="0" applyFont="1" applyFill="1" applyBorder="1" applyAlignment="1">
      <alignment horizontal="center" vertical="center" wrapText="1"/>
    </xf>
    <xf numFmtId="0" fontId="4" fillId="0" borderId="15" xfId="0" applyFont="1" applyFill="1" applyBorder="1" applyAlignment="1">
      <alignment horizontal="left" vertical="center" wrapText="1"/>
    </xf>
    <xf numFmtId="0" fontId="28" fillId="0" borderId="0" xfId="47" applyFont="1" applyAlignment="1">
      <alignment wrapText="1"/>
    </xf>
    <xf numFmtId="0" fontId="6" fillId="0" borderId="0" xfId="47" applyFont="1" applyAlignment="1">
      <alignment horizontal="center" wrapText="1"/>
    </xf>
    <xf numFmtId="0" fontId="6" fillId="0" borderId="0" xfId="47" applyFont="1" applyAlignment="1">
      <alignment wrapText="1"/>
    </xf>
    <xf numFmtId="4" fontId="25" fillId="0" borderId="1" xfId="69" applyNumberFormat="1" applyFont="1" applyFill="1" applyBorder="1" applyAlignment="1">
      <alignment horizontal="center" vertical="center" wrapText="1"/>
    </xf>
    <xf numFmtId="0" fontId="25" fillId="2" borderId="1" xfId="47" applyFont="1" applyFill="1" applyBorder="1" applyAlignment="1">
      <alignment horizontal="center" vertical="center"/>
    </xf>
    <xf numFmtId="0" fontId="28" fillId="0" borderId="0" xfId="45" applyFont="1" applyFill="1" applyBorder="1" applyAlignment="1">
      <alignment horizontal="right" wrapText="1"/>
    </xf>
    <xf numFmtId="0" fontId="41" fillId="0" borderId="0" xfId="45" applyFont="1" applyFill="1" applyBorder="1" applyAlignment="1">
      <alignment horizontal="right"/>
    </xf>
    <xf numFmtId="0" fontId="25" fillId="0" borderId="0" xfId="45" applyFont="1" applyAlignment="1">
      <alignment horizontal="center"/>
    </xf>
    <xf numFmtId="0" fontId="5" fillId="2" borderId="0" xfId="45" applyFont="1" applyFill="1" applyAlignment="1">
      <alignment horizontal="center" vertical="center" wrapText="1"/>
    </xf>
    <xf numFmtId="0" fontId="25" fillId="15" borderId="0" xfId="45" applyFont="1" applyFill="1" applyBorder="1" applyAlignment="1">
      <alignment horizontal="center"/>
    </xf>
    <xf numFmtId="0" fontId="28" fillId="0" borderId="18" xfId="45" applyFont="1" applyFill="1" applyBorder="1" applyAlignment="1">
      <alignment horizontal="right" wrapText="1"/>
    </xf>
    <xf numFmtId="0" fontId="8" fillId="0" borderId="4" xfId="45" applyBorder="1"/>
    <xf numFmtId="0" fontId="28" fillId="0" borderId="16" xfId="45" applyFont="1" applyBorder="1" applyAlignment="1">
      <alignment horizontal="left" wrapText="1"/>
    </xf>
    <xf numFmtId="0" fontId="25" fillId="0" borderId="26" xfId="45" applyFont="1" applyBorder="1" applyAlignment="1">
      <alignment horizontal="left" wrapText="1"/>
    </xf>
    <xf numFmtId="0" fontId="25" fillId="0" borderId="17" xfId="45" applyFont="1" applyBorder="1" applyAlignment="1">
      <alignment horizontal="left" wrapText="1"/>
    </xf>
    <xf numFmtId="0" fontId="42" fillId="0" borderId="18" xfId="45" applyFont="1" applyBorder="1" applyAlignment="1">
      <alignment horizontal="left" wrapText="1"/>
    </xf>
    <xf numFmtId="0" fontId="25" fillId="0" borderId="4" xfId="45" applyFont="1" applyBorder="1" applyAlignment="1">
      <alignment horizontal="left" wrapText="1"/>
    </xf>
    <xf numFmtId="0" fontId="25" fillId="0" borderId="74" xfId="45" applyFont="1" applyBorder="1" applyAlignment="1">
      <alignment horizontal="left" wrapText="1"/>
    </xf>
    <xf numFmtId="0" fontId="25" fillId="0" borderId="0" xfId="45" applyFont="1" applyAlignment="1">
      <alignment horizontal="right" wrapText="1"/>
    </xf>
    <xf numFmtId="0" fontId="28" fillId="0" borderId="1" xfId="45" applyFont="1" applyBorder="1" applyAlignment="1">
      <alignment horizontal="left" wrapText="1"/>
    </xf>
    <xf numFmtId="0" fontId="25" fillId="0" borderId="1" xfId="45" applyFont="1" applyBorder="1" applyAlignment="1">
      <alignment horizontal="left" wrapText="1"/>
    </xf>
    <xf numFmtId="49" fontId="114" fillId="0" borderId="0" xfId="45" applyNumberFormat="1" applyFont="1" applyBorder="1" applyAlignment="1">
      <alignment horizontal="center" vertical="center" wrapText="1"/>
    </xf>
    <xf numFmtId="0" fontId="115" fillId="0" borderId="0" xfId="45" applyFont="1" applyAlignment="1">
      <alignment horizontal="left" wrapText="1"/>
    </xf>
    <xf numFmtId="1" fontId="25" fillId="0" borderId="4" xfId="45" applyNumberFormat="1" applyFont="1" applyBorder="1" applyAlignment="1">
      <alignment horizontal="center" vertical="center" wrapText="1"/>
    </xf>
    <xf numFmtId="1" fontId="25" fillId="0" borderId="0" xfId="45" applyNumberFormat="1" applyFont="1" applyBorder="1" applyAlignment="1">
      <alignment horizontal="center" vertical="center" wrapText="1"/>
    </xf>
    <xf numFmtId="0" fontId="25" fillId="0" borderId="78" xfId="45" applyFont="1" applyBorder="1" applyAlignment="1">
      <alignment horizontal="center" vertical="top" wrapText="1"/>
    </xf>
    <xf numFmtId="0" fontId="25" fillId="0" borderId="18" xfId="45" applyFont="1" applyBorder="1" applyAlignment="1">
      <alignment horizontal="left" wrapText="1"/>
    </xf>
    <xf numFmtId="0" fontId="25" fillId="0" borderId="79" xfId="45" applyFont="1" applyBorder="1" applyAlignment="1">
      <alignment horizontal="center" wrapText="1"/>
    </xf>
    <xf numFmtId="0" fontId="25" fillId="0" borderId="0" xfId="45" applyFont="1" applyBorder="1" applyAlignment="1">
      <alignment horizontal="left" wrapText="1"/>
    </xf>
    <xf numFmtId="0" fontId="25" fillId="0" borderId="5" xfId="45" applyFont="1" applyBorder="1" applyAlignment="1">
      <alignment horizontal="left" wrapText="1"/>
    </xf>
    <xf numFmtId="0" fontId="41" fillId="0" borderId="0" xfId="45" applyFont="1" applyAlignment="1">
      <alignment horizontal="center" wrapText="1"/>
    </xf>
    <xf numFmtId="0" fontId="25" fillId="0" borderId="1" xfId="45" applyFont="1" applyBorder="1" applyAlignment="1">
      <alignment horizontal="right" wrapText="1"/>
    </xf>
    <xf numFmtId="0" fontId="25" fillId="0" borderId="3" xfId="47" applyFont="1" applyBorder="1" applyAlignment="1">
      <alignment horizontal="center" wrapText="1"/>
    </xf>
    <xf numFmtId="0" fontId="25" fillId="0" borderId="16" xfId="47" applyFont="1" applyBorder="1" applyAlignment="1">
      <alignment horizontal="center" vertical="center" wrapText="1"/>
    </xf>
    <xf numFmtId="0" fontId="25" fillId="0" borderId="26" xfId="47" applyFont="1" applyBorder="1" applyAlignment="1">
      <alignment horizontal="center" vertical="center" wrapText="1"/>
    </xf>
    <xf numFmtId="0" fontId="25" fillId="0" borderId="17" xfId="47" applyFont="1" applyBorder="1" applyAlignment="1">
      <alignment horizontal="center" vertical="center" wrapText="1"/>
    </xf>
    <xf numFmtId="0" fontId="25" fillId="0" borderId="16" xfId="47" applyFont="1" applyBorder="1" applyAlignment="1">
      <alignment horizontal="left" vertical="center" wrapText="1"/>
    </xf>
    <xf numFmtId="0" fontId="25" fillId="0" borderId="26" xfId="47" applyFont="1" applyBorder="1" applyAlignment="1">
      <alignment horizontal="left" vertical="center" wrapText="1"/>
    </xf>
    <xf numFmtId="0" fontId="25" fillId="0" borderId="17" xfId="47" applyFont="1" applyBorder="1" applyAlignment="1">
      <alignment horizontal="left" vertical="center" wrapText="1"/>
    </xf>
    <xf numFmtId="0" fontId="25" fillId="0" borderId="0" xfId="46" applyFont="1" applyBorder="1" applyAlignment="1">
      <alignment horizontal="left" wrapText="1"/>
    </xf>
    <xf numFmtId="0" fontId="5" fillId="5" borderId="6" xfId="47" applyFont="1" applyFill="1" applyBorder="1" applyAlignment="1">
      <alignment horizontal="center" wrapText="1"/>
    </xf>
    <xf numFmtId="0" fontId="5" fillId="5" borderId="0" xfId="47" applyFont="1" applyFill="1" applyAlignment="1">
      <alignment horizontal="center" wrapText="1"/>
    </xf>
    <xf numFmtId="4" fontId="25" fillId="0" borderId="15" xfId="47" applyNumberFormat="1" applyFont="1" applyBorder="1" applyAlignment="1">
      <alignment horizontal="center" wrapText="1"/>
    </xf>
    <xf numFmtId="4" fontId="25" fillId="0" borderId="2" xfId="47" applyNumberFormat="1" applyFont="1" applyBorder="1" applyAlignment="1">
      <alignment horizontal="center" wrapText="1"/>
    </xf>
    <xf numFmtId="0" fontId="25" fillId="0" borderId="4" xfId="47" applyFont="1" applyBorder="1" applyAlignment="1">
      <alignment horizontal="left" wrapText="1"/>
    </xf>
    <xf numFmtId="0" fontId="25" fillId="0" borderId="74" xfId="47" applyFont="1" applyBorder="1" applyAlignment="1">
      <alignment horizontal="left" wrapText="1"/>
    </xf>
    <xf numFmtId="0" fontId="28" fillId="0" borderId="3" xfId="47" applyFont="1" applyBorder="1" applyAlignment="1">
      <alignment horizontal="right" wrapText="1"/>
    </xf>
    <xf numFmtId="0" fontId="25" fillId="0" borderId="16" xfId="47" applyFont="1" applyBorder="1" applyAlignment="1">
      <alignment horizontal="left" wrapText="1"/>
    </xf>
    <xf numFmtId="0" fontId="25" fillId="0" borderId="26" xfId="47" applyFont="1" applyBorder="1" applyAlignment="1">
      <alignment horizontal="left" wrapText="1"/>
    </xf>
    <xf numFmtId="0" fontId="25" fillId="0" borderId="17" xfId="47" applyFont="1" applyBorder="1" applyAlignment="1">
      <alignment horizontal="left" wrapText="1"/>
    </xf>
    <xf numFmtId="0" fontId="42" fillId="0" borderId="18" xfId="0" quotePrefix="1" applyFont="1" applyBorder="1" applyAlignment="1">
      <alignment horizontal="left" vertical="top" wrapText="1"/>
    </xf>
    <xf numFmtId="0" fontId="42" fillId="0" borderId="4" xfId="0" quotePrefix="1" applyFont="1" applyBorder="1" applyAlignment="1">
      <alignment horizontal="left" vertical="top" wrapText="1"/>
    </xf>
    <xf numFmtId="0" fontId="25" fillId="0" borderId="3" xfId="0" applyFont="1" applyBorder="1" applyAlignment="1">
      <alignment horizontal="center" wrapText="1"/>
    </xf>
    <xf numFmtId="0" fontId="42" fillId="0" borderId="6" xfId="0" quotePrefix="1" applyFont="1" applyBorder="1" applyAlignment="1">
      <alignment horizontal="left" vertical="top" wrapText="1"/>
    </xf>
    <xf numFmtId="0" fontId="42" fillId="0" borderId="0" xfId="0" quotePrefix="1" applyFont="1" applyBorder="1" applyAlignment="1">
      <alignment horizontal="left" vertical="top" wrapText="1"/>
    </xf>
    <xf numFmtId="0" fontId="25" fillId="0" borderId="7" xfId="47" applyFont="1" applyBorder="1" applyAlignment="1">
      <alignment horizontal="center" wrapText="1"/>
    </xf>
    <xf numFmtId="49" fontId="42" fillId="0" borderId="6" xfId="0" quotePrefix="1" applyNumberFormat="1" applyFont="1" applyBorder="1" applyAlignment="1">
      <alignment horizontal="left" vertical="top" wrapText="1"/>
    </xf>
    <xf numFmtId="49" fontId="42" fillId="0" borderId="0" xfId="0" quotePrefix="1" applyNumberFormat="1" applyFont="1" applyBorder="1" applyAlignment="1">
      <alignment horizontal="left" vertical="top" wrapText="1"/>
    </xf>
    <xf numFmtId="0" fontId="25" fillId="0" borderId="4" xfId="47" applyFont="1" applyFill="1" applyBorder="1" applyAlignment="1">
      <alignment horizontal="center" wrapText="1"/>
    </xf>
    <xf numFmtId="0" fontId="25" fillId="0" borderId="0" xfId="47" applyFont="1" applyFill="1" applyBorder="1" applyAlignment="1">
      <alignment horizontal="center" wrapText="1"/>
    </xf>
    <xf numFmtId="49" fontId="130" fillId="0" borderId="15" xfId="0" applyNumberFormat="1" applyFont="1" applyBorder="1" applyAlignment="1">
      <alignment horizontal="center" vertical="center" wrapText="1"/>
    </xf>
    <xf numFmtId="49" fontId="130" fillId="0" borderId="20" xfId="0" applyNumberFormat="1" applyFont="1" applyBorder="1" applyAlignment="1">
      <alignment horizontal="center" vertical="center" wrapText="1"/>
    </xf>
    <xf numFmtId="49" fontId="130" fillId="0" borderId="2" xfId="0" applyNumberFormat="1" applyFont="1" applyBorder="1" applyAlignment="1">
      <alignment horizontal="center" vertical="center" wrapText="1"/>
    </xf>
    <xf numFmtId="0" fontId="130" fillId="0" borderId="15" xfId="0" applyFont="1" applyBorder="1" applyAlignment="1">
      <alignment horizontal="center" wrapText="1"/>
    </xf>
    <xf numFmtId="0" fontId="130" fillId="0" borderId="2" xfId="0" applyFont="1" applyBorder="1" applyAlignment="1">
      <alignment horizontal="center" wrapText="1"/>
    </xf>
    <xf numFmtId="0" fontId="28" fillId="0" borderId="0" xfId="0" applyFont="1" applyAlignment="1">
      <alignment horizontal="center"/>
    </xf>
    <xf numFmtId="0" fontId="22" fillId="0" borderId="15" xfId="0" applyFont="1" applyFill="1" applyBorder="1" applyAlignment="1">
      <alignment horizontal="center" vertical="top" wrapText="1"/>
    </xf>
    <xf numFmtId="0" fontId="22" fillId="0" borderId="2" xfId="0" applyFont="1" applyFill="1" applyBorder="1" applyAlignment="1">
      <alignment horizontal="center" vertical="top" wrapText="1"/>
    </xf>
    <xf numFmtId="0" fontId="22" fillId="7" borderId="15" xfId="0" applyFont="1" applyFill="1" applyBorder="1" applyAlignment="1">
      <alignment horizontal="center" vertical="top"/>
    </xf>
    <xf numFmtId="0" fontId="22" fillId="7" borderId="2" xfId="0" applyFont="1" applyFill="1" applyBorder="1" applyAlignment="1">
      <alignment horizontal="center" vertical="top"/>
    </xf>
    <xf numFmtId="0" fontId="130" fillId="0" borderId="15" xfId="0" applyFont="1" applyBorder="1" applyAlignment="1">
      <alignment horizontal="left" vertical="top" wrapText="1"/>
    </xf>
    <xf numFmtId="0" fontId="130" fillId="0" borderId="2" xfId="0" applyFont="1" applyBorder="1" applyAlignment="1">
      <alignment horizontal="left" vertical="top" wrapText="1"/>
    </xf>
    <xf numFmtId="0" fontId="23" fillId="0" borderId="16" xfId="0" applyFont="1" applyBorder="1" applyAlignment="1">
      <alignment horizontal="center" wrapText="1"/>
    </xf>
    <xf numFmtId="0" fontId="23" fillId="0" borderId="26" xfId="0" applyFont="1" applyBorder="1" applyAlignment="1">
      <alignment horizontal="center" wrapText="1"/>
    </xf>
    <xf numFmtId="0" fontId="23" fillId="0" borderId="17" xfId="0" applyFont="1" applyBorder="1" applyAlignment="1">
      <alignment horizontal="center" wrapText="1"/>
    </xf>
    <xf numFmtId="0" fontId="23" fillId="0" borderId="1" xfId="0" applyFont="1" applyBorder="1" applyAlignment="1">
      <alignment horizontal="right" wrapText="1"/>
    </xf>
    <xf numFmtId="0" fontId="25" fillId="0" borderId="1" xfId="0" applyFont="1" applyFill="1" applyBorder="1" applyAlignment="1">
      <alignment horizontal="center" wrapText="1"/>
    </xf>
    <xf numFmtId="0" fontId="22" fillId="0" borderId="1" xfId="0" applyFont="1" applyBorder="1" applyAlignment="1">
      <alignment horizontal="center" vertical="center" wrapText="1"/>
    </xf>
    <xf numFmtId="0" fontId="22" fillId="0" borderId="16" xfId="0" applyFont="1" applyBorder="1" applyAlignment="1">
      <alignment horizontal="center" vertical="center" wrapText="1"/>
    </xf>
    <xf numFmtId="0" fontId="22" fillId="0" borderId="26" xfId="0" applyFont="1" applyBorder="1" applyAlignment="1">
      <alignment horizontal="center" vertical="center" wrapText="1"/>
    </xf>
    <xf numFmtId="0" fontId="22" fillId="0" borderId="17"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2" xfId="0" applyFont="1" applyBorder="1" applyAlignment="1">
      <alignment horizontal="center" vertical="center" wrapText="1"/>
    </xf>
    <xf numFmtId="0" fontId="28" fillId="0" borderId="1" xfId="47" applyFont="1" applyBorder="1" applyAlignment="1">
      <alignment horizontal="right" wrapText="1"/>
    </xf>
    <xf numFmtId="0" fontId="25" fillId="0" borderId="16" xfId="47" applyFont="1" applyBorder="1" applyAlignment="1">
      <alignment horizontal="center" wrapText="1"/>
    </xf>
    <xf numFmtId="0" fontId="25" fillId="0" borderId="26" xfId="47" applyFont="1" applyBorder="1" applyAlignment="1">
      <alignment horizontal="center" wrapText="1"/>
    </xf>
    <xf numFmtId="0" fontId="25" fillId="0" borderId="17" xfId="47" applyFont="1" applyBorder="1" applyAlignment="1">
      <alignment horizontal="center" wrapText="1"/>
    </xf>
    <xf numFmtId="0" fontId="28" fillId="0" borderId="0" xfId="0" applyFont="1" applyAlignment="1">
      <alignment horizontal="left"/>
    </xf>
    <xf numFmtId="0" fontId="28" fillId="7" borderId="0" xfId="0" applyFont="1" applyFill="1" applyAlignment="1">
      <alignment horizontal="left"/>
    </xf>
    <xf numFmtId="0" fontId="22" fillId="7" borderId="15" xfId="0" applyFont="1" applyFill="1" applyBorder="1" applyAlignment="1">
      <alignment horizontal="center"/>
    </xf>
    <xf numFmtId="0" fontId="22" fillId="7" borderId="2" xfId="0" applyFont="1" applyFill="1" applyBorder="1" applyAlignment="1">
      <alignment horizontal="center"/>
    </xf>
    <xf numFmtId="2" fontId="28" fillId="0" borderId="0" xfId="47" applyNumberFormat="1" applyFont="1" applyFill="1" applyBorder="1" applyAlignment="1">
      <alignment horizontal="center" vertical="center" wrapText="1"/>
    </xf>
    <xf numFmtId="0" fontId="28" fillId="0" borderId="16" xfId="47" applyFont="1" applyBorder="1" applyAlignment="1">
      <alignment horizontal="right" vertical="center"/>
    </xf>
    <xf numFmtId="0" fontId="28" fillId="0" borderId="26" xfId="47" applyFont="1" applyBorder="1" applyAlignment="1">
      <alignment horizontal="right" vertical="center"/>
    </xf>
    <xf numFmtId="0" fontId="6" fillId="0" borderId="0" xfId="0" applyFont="1" applyFill="1" applyAlignment="1">
      <alignment horizontal="center" wrapText="1"/>
    </xf>
    <xf numFmtId="0" fontId="25" fillId="0" borderId="0" xfId="46" applyFont="1" applyFill="1" applyBorder="1" applyAlignment="1">
      <alignment horizontal="center" vertical="top" wrapText="1"/>
    </xf>
    <xf numFmtId="0" fontId="22" fillId="0" borderId="16" xfId="0" applyFont="1" applyBorder="1" applyAlignment="1">
      <alignment horizontal="right"/>
    </xf>
    <xf numFmtId="0" fontId="22" fillId="0" borderId="26" xfId="0" applyFont="1" applyBorder="1" applyAlignment="1">
      <alignment horizontal="right"/>
    </xf>
    <xf numFmtId="0" fontId="22" fillId="0" borderId="17" xfId="0" applyFont="1" applyBorder="1" applyAlignment="1">
      <alignment horizontal="right"/>
    </xf>
    <xf numFmtId="0" fontId="25" fillId="0" borderId="0" xfId="47" applyFont="1" applyAlignment="1">
      <alignment horizontal="center"/>
    </xf>
    <xf numFmtId="0" fontId="25" fillId="0" borderId="7" xfId="71" applyFont="1" applyBorder="1" applyAlignment="1">
      <alignment horizontal="right"/>
    </xf>
    <xf numFmtId="0" fontId="25" fillId="0" borderId="3" xfId="71" applyFont="1" applyBorder="1" applyAlignment="1">
      <alignment horizontal="right"/>
    </xf>
    <xf numFmtId="0" fontId="25" fillId="0" borderId="8" xfId="71" applyFont="1" applyBorder="1" applyAlignment="1">
      <alignment horizontal="right"/>
    </xf>
    <xf numFmtId="0" fontId="28" fillId="0" borderId="0" xfId="71" applyFont="1" applyAlignment="1">
      <alignment horizontal="center" wrapText="1"/>
    </xf>
    <xf numFmtId="0" fontId="25" fillId="0" borderId="0" xfId="71" applyFont="1" applyAlignment="1">
      <alignment horizontal="center" wrapText="1"/>
    </xf>
    <xf numFmtId="0" fontId="25" fillId="0" borderId="3" xfId="47" applyFont="1" applyBorder="1" applyAlignment="1">
      <alignment horizontal="right" wrapText="1"/>
    </xf>
    <xf numFmtId="0" fontId="25" fillId="0" borderId="8" xfId="47" applyFont="1" applyBorder="1" applyAlignment="1">
      <alignment horizontal="right" wrapText="1"/>
    </xf>
    <xf numFmtId="0" fontId="25" fillId="0" borderId="1" xfId="47" applyFont="1" applyBorder="1" applyAlignment="1">
      <alignment horizontal="left" wrapText="1"/>
    </xf>
    <xf numFmtId="0" fontId="25" fillId="0" borderId="20" xfId="0" applyFont="1" applyBorder="1" applyAlignment="1">
      <alignment horizontal="center" vertical="center" wrapText="1"/>
    </xf>
    <xf numFmtId="0" fontId="28" fillId="0" borderId="0" xfId="0" applyFont="1" applyAlignment="1">
      <alignment horizontal="center" wrapText="1"/>
    </xf>
    <xf numFmtId="0" fontId="46" fillId="0" borderId="0" xfId="0" applyFont="1" applyAlignment="1">
      <alignment horizontal="center" vertical="top" wrapText="1"/>
    </xf>
    <xf numFmtId="0" fontId="25" fillId="0" borderId="1" xfId="0" applyFont="1" applyFill="1" applyBorder="1" applyAlignment="1">
      <alignment horizontal="center"/>
    </xf>
    <xf numFmtId="164" fontId="25" fillId="0" borderId="1" xfId="35" applyFont="1" applyFill="1" applyBorder="1" applyAlignment="1">
      <alignment horizontal="center" vertical="center" wrapText="1"/>
    </xf>
    <xf numFmtId="0" fontId="28" fillId="0" borderId="0" xfId="0" applyFont="1" applyAlignment="1">
      <alignment horizontal="center" vertical="top" wrapText="1"/>
    </xf>
    <xf numFmtId="4" fontId="28" fillId="0" borderId="1" xfId="0" applyNumberFormat="1" applyFont="1" applyFill="1" applyBorder="1" applyAlignment="1">
      <alignment horizontal="center" vertical="center" wrapText="1"/>
    </xf>
    <xf numFmtId="0" fontId="5" fillId="0" borderId="0" xfId="47" applyFont="1" applyAlignment="1">
      <alignment horizontal="left"/>
    </xf>
    <xf numFmtId="0" fontId="28" fillId="0" borderId="0" xfId="47" applyFont="1" applyBorder="1" applyAlignment="1">
      <alignment horizontal="center" vertical="center" wrapText="1"/>
    </xf>
    <xf numFmtId="0" fontId="25" fillId="0" borderId="0" xfId="47" applyFont="1" applyBorder="1" applyAlignment="1">
      <alignment horizontal="center"/>
    </xf>
    <xf numFmtId="0" fontId="25" fillId="0" borderId="16" xfId="47" applyFont="1" applyBorder="1" applyAlignment="1">
      <alignment horizontal="right"/>
    </xf>
    <xf numFmtId="0" fontId="25" fillId="0" borderId="26" xfId="47" applyFont="1" applyBorder="1" applyAlignment="1">
      <alignment horizontal="right"/>
    </xf>
    <xf numFmtId="0" fontId="25" fillId="0" borderId="17" xfId="47" applyFont="1" applyBorder="1" applyAlignment="1">
      <alignment horizontal="right"/>
    </xf>
    <xf numFmtId="0" fontId="28" fillId="0" borderId="0" xfId="0" applyFont="1" applyAlignment="1">
      <alignment horizontal="center" vertical="center" wrapText="1"/>
    </xf>
    <xf numFmtId="168" fontId="25" fillId="0" borderId="16" xfId="0" applyNumberFormat="1" applyFont="1" applyBorder="1" applyAlignment="1">
      <alignment horizontal="center"/>
    </xf>
    <xf numFmtId="168" fontId="25" fillId="0" borderId="26" xfId="0" applyNumberFormat="1" applyFont="1" applyBorder="1" applyAlignment="1">
      <alignment horizontal="center"/>
    </xf>
    <xf numFmtId="168" fontId="25" fillId="0" borderId="17" xfId="0" applyNumberFormat="1" applyFont="1" applyBorder="1" applyAlignment="1">
      <alignment horizontal="center"/>
    </xf>
    <xf numFmtId="0" fontId="25" fillId="0" borderId="1" xfId="0" applyFont="1" applyBorder="1" applyAlignment="1">
      <alignment horizontal="center"/>
    </xf>
    <xf numFmtId="0" fontId="25" fillId="0" borderId="16" xfId="0" applyFont="1" applyFill="1" applyBorder="1" applyAlignment="1">
      <alignment horizontal="center"/>
    </xf>
    <xf numFmtId="0" fontId="25" fillId="0" borderId="26" xfId="0" applyFont="1" applyFill="1" applyBorder="1" applyAlignment="1">
      <alignment horizontal="center"/>
    </xf>
    <xf numFmtId="0" fontId="25" fillId="0" borderId="17" xfId="0" applyFont="1" applyFill="1" applyBorder="1" applyAlignment="1">
      <alignment horizontal="center"/>
    </xf>
    <xf numFmtId="0" fontId="25" fillId="0" borderId="16" xfId="0" applyFont="1" applyBorder="1" applyAlignment="1">
      <alignment horizontal="center"/>
    </xf>
    <xf numFmtId="0" fontId="25" fillId="0" borderId="26" xfId="0" applyFont="1" applyBorder="1" applyAlignment="1">
      <alignment horizontal="center"/>
    </xf>
    <xf numFmtId="0" fontId="25" fillId="0" borderId="17" xfId="0" applyFont="1" applyBorder="1" applyAlignment="1">
      <alignment horizontal="center"/>
    </xf>
    <xf numFmtId="168" fontId="25" fillId="0" borderId="16" xfId="0" applyNumberFormat="1" applyFont="1" applyFill="1" applyBorder="1" applyAlignment="1">
      <alignment horizontal="center"/>
    </xf>
    <xf numFmtId="168" fontId="25" fillId="0" borderId="26" xfId="0" applyNumberFormat="1" applyFont="1" applyFill="1" applyBorder="1" applyAlignment="1">
      <alignment horizontal="center"/>
    </xf>
    <xf numFmtId="168" fontId="25" fillId="0" borderId="17" xfId="0" applyNumberFormat="1" applyFont="1" applyFill="1" applyBorder="1" applyAlignment="1">
      <alignment horizontal="center"/>
    </xf>
    <xf numFmtId="0" fontId="22" fillId="0" borderId="1" xfId="0" applyFont="1" applyFill="1" applyBorder="1" applyAlignment="1">
      <alignment horizontal="right" wrapText="1"/>
    </xf>
    <xf numFmtId="0" fontId="22" fillId="0" borderId="0" xfId="0" applyFont="1" applyAlignment="1">
      <alignment horizontal="left" vertical="top" wrapText="1"/>
    </xf>
    <xf numFmtId="0" fontId="23" fillId="0" borderId="0" xfId="0" applyNumberFormat="1" applyFont="1" applyAlignment="1">
      <alignment horizontal="center" vertical="center" wrapText="1"/>
    </xf>
    <xf numFmtId="0" fontId="25" fillId="0" borderId="0" xfId="0" applyFont="1" applyAlignment="1">
      <alignment horizontal="left" vertical="center" wrapText="1"/>
    </xf>
    <xf numFmtId="1" fontId="22" fillId="0" borderId="16" xfId="0" applyNumberFormat="1" applyFont="1" applyBorder="1" applyAlignment="1">
      <alignment horizontal="right"/>
    </xf>
    <xf numFmtId="1" fontId="22" fillId="0" borderId="26" xfId="0" applyNumberFormat="1" applyFont="1" applyBorder="1" applyAlignment="1">
      <alignment horizontal="right"/>
    </xf>
    <xf numFmtId="1" fontId="22" fillId="0" borderId="17" xfId="0" applyNumberFormat="1" applyFont="1" applyBorder="1" applyAlignment="1">
      <alignment horizontal="right"/>
    </xf>
    <xf numFmtId="1" fontId="22" fillId="0" borderId="16" xfId="0" applyNumberFormat="1" applyFont="1" applyBorder="1" applyAlignment="1">
      <alignment horizontal="center"/>
    </xf>
    <xf numFmtId="1" fontId="22" fillId="0" borderId="26" xfId="0" applyNumberFormat="1" applyFont="1" applyBorder="1" applyAlignment="1">
      <alignment horizontal="center"/>
    </xf>
    <xf numFmtId="1" fontId="22" fillId="0" borderId="17" xfId="0" applyNumberFormat="1" applyFont="1" applyBorder="1" applyAlignment="1">
      <alignment horizontal="center"/>
    </xf>
    <xf numFmtId="0" fontId="25" fillId="0" borderId="1" xfId="0" applyFont="1" applyFill="1" applyBorder="1" applyAlignment="1">
      <alignment horizontal="right" wrapText="1"/>
    </xf>
    <xf numFmtId="0" fontId="25" fillId="0" borderId="1" xfId="56" applyFont="1" applyBorder="1" applyAlignment="1">
      <alignment horizontal="right" wrapText="1"/>
    </xf>
    <xf numFmtId="0" fontId="28" fillId="0" borderId="0" xfId="56" applyFont="1" applyAlignment="1">
      <alignment horizontal="center" wrapText="1"/>
    </xf>
    <xf numFmtId="0" fontId="25" fillId="0" borderId="16" xfId="56" applyFont="1" applyBorder="1" applyAlignment="1">
      <alignment horizontal="right" wrapText="1"/>
    </xf>
    <xf numFmtId="0" fontId="25" fillId="0" borderId="26" xfId="56" applyFont="1" applyBorder="1" applyAlignment="1">
      <alignment horizontal="right" wrapText="1"/>
    </xf>
    <xf numFmtId="0" fontId="25" fillId="0" borderId="17" xfId="56" applyFont="1" applyBorder="1" applyAlignment="1">
      <alignment horizontal="right" wrapText="1"/>
    </xf>
    <xf numFmtId="0" fontId="25" fillId="0" borderId="0" xfId="56" applyFont="1" applyBorder="1" applyAlignment="1">
      <alignment horizontal="right" wrapText="1"/>
    </xf>
    <xf numFmtId="0" fontId="25" fillId="0" borderId="0" xfId="56" applyFont="1" applyBorder="1" applyAlignment="1">
      <alignment horizontal="right"/>
    </xf>
    <xf numFmtId="0" fontId="25" fillId="0" borderId="0" xfId="56" applyFont="1" applyAlignment="1">
      <alignment wrapText="1"/>
    </xf>
    <xf numFmtId="0" fontId="25" fillId="0" borderId="0" xfId="56" applyFont="1" applyFill="1" applyAlignment="1">
      <alignment horizontal="left" wrapText="1"/>
    </xf>
    <xf numFmtId="0" fontId="25" fillId="0" borderId="0" xfId="56" applyFont="1" applyFill="1" applyAlignment="1">
      <alignment horizontal="center" wrapText="1"/>
    </xf>
    <xf numFmtId="0" fontId="42" fillId="0" borderId="0" xfId="47" applyFont="1" applyAlignment="1">
      <alignment horizontal="center" wrapText="1"/>
    </xf>
    <xf numFmtId="0" fontId="25" fillId="0" borderId="4" xfId="47" applyFont="1" applyBorder="1" applyAlignment="1">
      <alignment horizontal="right" vertical="center" wrapText="1"/>
    </xf>
    <xf numFmtId="0" fontId="25" fillId="0" borderId="16" xfId="47" applyFont="1" applyBorder="1" applyAlignment="1">
      <alignment horizontal="right" vertical="center"/>
    </xf>
    <xf numFmtId="0" fontId="25" fillId="0" borderId="26" xfId="47" applyFont="1" applyBorder="1" applyAlignment="1">
      <alignment horizontal="right" vertical="center"/>
    </xf>
    <xf numFmtId="0" fontId="25" fillId="0" borderId="17" xfId="47" applyFont="1" applyBorder="1" applyAlignment="1">
      <alignment horizontal="right" vertical="center"/>
    </xf>
  </cellXfs>
  <cellStyles count="98">
    <cellStyle name="20% - Акцент1" xfId="1" builtinId="30" customBuiltin="1"/>
    <cellStyle name="20% - Акцент2" xfId="2" builtinId="34" customBuiltin="1"/>
    <cellStyle name="20% - Акцент3" xfId="3" builtinId="38" customBuiltin="1"/>
    <cellStyle name="20% - Акцент4" xfId="4" builtinId="42" customBuiltin="1"/>
    <cellStyle name="20% - Акцент5" xfId="5" builtinId="46" customBuiltin="1"/>
    <cellStyle name="20% - Акцент6" xfId="6" builtinId="50" customBuiltin="1"/>
    <cellStyle name="40% - Акцент1" xfId="7" builtinId="31" customBuiltin="1"/>
    <cellStyle name="40% - Акцент2" xfId="8" builtinId="35" customBuiltin="1"/>
    <cellStyle name="40% - Акцент3" xfId="9" builtinId="39" customBuiltin="1"/>
    <cellStyle name="40% - Акцент4" xfId="10" builtinId="43" customBuiltin="1"/>
    <cellStyle name="40% - Акцент5" xfId="11" builtinId="47" customBuiltin="1"/>
    <cellStyle name="40% - Акцент6" xfId="12" builtinId="51" customBuiltin="1"/>
    <cellStyle name="60% - Акцент1" xfId="13" builtinId="32" customBuiltin="1"/>
    <cellStyle name="60% - Акцент2" xfId="14" builtinId="36" customBuiltin="1"/>
    <cellStyle name="60% - Акцент3" xfId="15" builtinId="40" customBuiltin="1"/>
    <cellStyle name="60% - Акцент4" xfId="16" builtinId="44" customBuiltin="1"/>
    <cellStyle name="60% - Акцент5" xfId="17" builtinId="48" customBuiltin="1"/>
    <cellStyle name="60% - Акцент6" xfId="18" builtinId="52" customBuiltin="1"/>
    <cellStyle name="Excel Built-in Normal" xfId="19"/>
    <cellStyle name="Heading" xfId="20"/>
    <cellStyle name="Heading1" xfId="21"/>
    <cellStyle name="Result" xfId="22"/>
    <cellStyle name="Result2" xfId="23"/>
    <cellStyle name="TableStyleLight1" xfId="24"/>
    <cellStyle name="Акцент1" xfId="25" builtinId="29" customBuiltin="1"/>
    <cellStyle name="Акцент2" xfId="26" builtinId="33" customBuiltin="1"/>
    <cellStyle name="Акцент3" xfId="27" builtinId="37" customBuiltin="1"/>
    <cellStyle name="Акцент4" xfId="28" builtinId="41" customBuiltin="1"/>
    <cellStyle name="Акцент5" xfId="29" builtinId="45" customBuiltin="1"/>
    <cellStyle name="Акцент6" xfId="30" builtinId="49" customBuiltin="1"/>
    <cellStyle name="Ввод " xfId="31" builtinId="20" customBuiltin="1"/>
    <cellStyle name="Вывод" xfId="32" builtinId="21" customBuiltin="1"/>
    <cellStyle name="Вычисление" xfId="33" builtinId="22" customBuiltin="1"/>
    <cellStyle name="Гиперссылка" xfId="34" builtinId="8"/>
    <cellStyle name="Денежный" xfId="35" builtinId="4"/>
    <cellStyle name="Денежный 2" xfId="36"/>
    <cellStyle name="Заголовок 1" xfId="37" builtinId="16" customBuiltin="1"/>
    <cellStyle name="Заголовок 2" xfId="38" builtinId="17" customBuiltin="1"/>
    <cellStyle name="Заголовок 3" xfId="39" builtinId="18" customBuiltin="1"/>
    <cellStyle name="Заголовок 4" xfId="40" builtinId="19" customBuiltin="1"/>
    <cellStyle name="Итог" xfId="41" builtinId="25" customBuiltin="1"/>
    <cellStyle name="Контрольная ячейка" xfId="42" builtinId="23" customBuiltin="1"/>
    <cellStyle name="Название" xfId="43" builtinId="15" customBuiltin="1"/>
    <cellStyle name="Нейтральный" xfId="44" builtinId="28" customBuiltin="1"/>
    <cellStyle name="Обычный" xfId="0" builtinId="0"/>
    <cellStyle name="Обычный 10" xfId="45"/>
    <cellStyle name="Обычный 2" xfId="46"/>
    <cellStyle name="Обычный 2 2" xfId="47"/>
    <cellStyle name="Обычный 2 2 2" xfId="48"/>
    <cellStyle name="Обычный 2 2 3" xfId="49"/>
    <cellStyle name="Обычный 2 3" xfId="50"/>
    <cellStyle name="Обычный 2 3 2" xfId="51"/>
    <cellStyle name="Обычный 2 3 3" xfId="52"/>
    <cellStyle name="Обычный 2 3 4" xfId="53"/>
    <cellStyle name="Обычный 2 3 5" xfId="54"/>
    <cellStyle name="Обычный 2 3 6" xfId="55"/>
    <cellStyle name="Обычный 2 4" xfId="56"/>
    <cellStyle name="Обычный 2 4_Тинская ши  ПФХД 2018 год   Римма Мих 21.12" xfId="57"/>
    <cellStyle name="Обычный 2 5" xfId="58"/>
    <cellStyle name="Обычный 2_Прил.12 Образец сметы на 2014 год" xfId="59"/>
    <cellStyle name="Обычный 2_Тинская ши  ПФХД 2018 год   Римма Мих 21.12" xfId="60"/>
    <cellStyle name="Обычный 3" xfId="61"/>
    <cellStyle name="Обычный 3 2" xfId="62"/>
    <cellStyle name="Обычный 4" xfId="63"/>
    <cellStyle name="Обычный 5" xfId="64"/>
    <cellStyle name="Обычный 6" xfId="65"/>
    <cellStyle name="Обычный 7" xfId="66"/>
    <cellStyle name="Обычный 8" xfId="67"/>
    <cellStyle name="Обычный 9" xfId="68"/>
    <cellStyle name="Обычный_300 2" xfId="69"/>
    <cellStyle name="Обычный_300 2 2" xfId="70"/>
    <cellStyle name="Обычный_мягкий инвентарь" xfId="71"/>
    <cellStyle name="Обычный_смета Боготол ФАКТ 2009г." xfId="72"/>
    <cellStyle name="Плохой" xfId="73" builtinId="27" customBuiltin="1"/>
    <cellStyle name="Пояснение" xfId="74" builtinId="53" customBuiltin="1"/>
    <cellStyle name="Примечание" xfId="75" builtinId="10" customBuiltin="1"/>
    <cellStyle name="Процентный 2" xfId="76"/>
    <cellStyle name="Процентный 2 2" xfId="77"/>
    <cellStyle name="Процентный 2 3" xfId="78"/>
    <cellStyle name="Процентный 2 4" xfId="79"/>
    <cellStyle name="Процентный 2 5" xfId="80"/>
    <cellStyle name="Процентный 2 6" xfId="81"/>
    <cellStyle name="Связанная ячейка" xfId="82" builtinId="24" customBuiltin="1"/>
    <cellStyle name="Стиль 1" xfId="83"/>
    <cellStyle name="Текст предупреждения" xfId="84" builtinId="11" customBuiltin="1"/>
    <cellStyle name="Финансовый" xfId="85" builtinId="3"/>
    <cellStyle name="Финансовый 2" xfId="86"/>
    <cellStyle name="Финансовый 2 2" xfId="87"/>
    <cellStyle name="Финансовый 2 2 2" xfId="88"/>
    <cellStyle name="Финансовый 2 3" xfId="89"/>
    <cellStyle name="Финансовый 2 3 2" xfId="90"/>
    <cellStyle name="Финансовый 3" xfId="91"/>
    <cellStyle name="Финансовый 3 2" xfId="92"/>
    <cellStyle name="Финансовый 4" xfId="93"/>
    <cellStyle name="Финансовый 5" xfId="94"/>
    <cellStyle name="Финансовый 6" xfId="95"/>
    <cellStyle name="Финансовый 7" xfId="96"/>
    <cellStyle name="Хороший" xfId="97" builtinId="26"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10.xml"/><Relationship Id="rId16" Type="http://schemas.openxmlformats.org/officeDocument/2006/relationships/worksheet" Target="worksheets/sheet16.xml"/><Relationship Id="rId107" Type="http://schemas.openxmlformats.org/officeDocument/2006/relationships/externalLink" Target="externalLinks/externalLink5.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externalLink" Target="externalLinks/externalLink8.xml"/><Relationship Id="rId115"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3.xml"/><Relationship Id="rId113"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1.xml"/><Relationship Id="rId108" Type="http://schemas.openxmlformats.org/officeDocument/2006/relationships/externalLink" Target="externalLinks/externalLink6.xml"/><Relationship Id="rId11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4.xml"/><Relationship Id="rId114"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7.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NB_SAM\&#1062;&#1054;&#1050;\2010\&#1096;&#1090;&#1072;&#1090;\pre\&#1064;&#1090;&#1072;&#1090;&#1085;&#1086;&#1077;%20&#1088;&#1072;&#1089;&#1087;&#1080;&#1089;&#1072;&#1085;&#1080;&#1077;%20&#1074;%20&#1048;&#1055;&#105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2018\&#1055;&#1060;&#1061;&#1044;%202018\&#1058;&#1080;&#1085;&#1089;&#1082;&#1072;&#1103;%20&#1096;&#1082;%202018\1.&#1058;&#1080;&#1085;&#1089;&#1082;&#1072;&#1103;%20&#1096;&#1080;%20%20&#1055;&#1060;&#1061;&#1044;%202018%20&#1075;&#1086;&#1076;%20%20%20&#1082;&#1088;&#1072;&#1081;%20(%2015.01.%2018%20%20&#1089;&#1072;&#1084;%20&#1087;&#1086;&#1089;&#108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7%20&#1075;&#1086;&#1076;/&#1055;&#1060;&#1061;&#1044;%202017%20&#1075;&#1086;&#1076;/&#1082;%20&#1055;&#1060;&#1061;&#1044;%20&#1085;&#1072;%202017%2030.06.2017/&#1055;&#1060;&#1061;&#1044;%2013.11.2017%20&#1050;&#1072;&#1085;&#1089;&#1082;&#1072;&#11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8/&#1058;&#1072;&#1088;&#1080;&#1092;&#1080;&#1082;&#1072;&#1094;&#1080;&#1103;%202017-2018/&#1058;&#1080;&#1085;&#1089;&#1082;&#1072;&#1103;%20&#1096;&#1082;/&#1064;&#1090;&#1072;&#1090;&#1085;&#1086;&#1077;%202017-2018/0.01.12.2017%20&#1064;&#1090;&#1072;&#1090;&#1085;&#1086;&#1077;%20&#1088;&#1072;&#1089;&#1087;&#1080;&#1089;&#1072;&#1085;&#1080;&#1077;%20&#1058;&#1080;&#1085;&#1089;&#1082;&#1072;&#1103;%20&#1054;&#1064;%20%20%20&#1088;&#1072;&#1073;&#1086;&#1095;&#1077;&#107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18/&#1058;&#1072;&#1088;&#1080;&#1092;&#1080;&#1082;&#1072;&#1094;&#1080;&#1103;%202017-2018/&#1058;&#1080;&#1085;&#1089;&#1082;&#1072;&#1103;%20&#1096;&#1082;/2018%20&#1075;&#1086;&#1076;/0.01.01.2018%20&#1064;&#1090;&#1072;&#1090;&#1085;&#1086;&#1077;%20&#1088;&#1072;&#1089;&#1087;&#1080;&#1089;&#1072;&#1085;&#1080;&#1077;%20&#1058;&#1080;&#1085;&#1089;&#1082;&#1072;&#1103;%20&#1054;&#1064;%20%20%20&#1088;&#1072;&#1073;&#1086;&#1095;&#1077;&#107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ocuments\&#1064;&#1090;&#1072;&#1090;&#1085;&#1099;&#1077;%20&#1088;&#1072;&#1089;&#1087;&#1080;&#1089;&#1072;&#1085;&#1080;&#1103;%20&#1085;&#1072;%202011&#1075;&#1086;&#1076;\433,422%20&#1089;&#1072;&#1085;&#1072;&#1090;\&#1040;&#1095;&#1080;&#1085;&#1089;&#1082;&#1072;&#1103;%20&#1058;&#1062;&#1041;\&#1087;&#1088;&#1086;&#1077;&#1082;&#1090;%20&#1053;&#1086;&#1074;&#1086;&#1073;&#1080;&#1088;&#1080;&#1083;&#1102;&#1089;&#1089;&#1099;%202009-2011&#1075;&#1075;\&#1053;&#1086;&#1074;&#1086;&#1073;&#1080;&#1088;&#1080;&#1083;&#1102;&#1089;&#1089;&#1082;&#1072;&#1103;%20&#1082;&#1086;&#1088;%20&#1096;&#1082;.%20-%20&#1064;&#1090;&#1072;&#1090;&#1085;&#1086;&#1077;%20&#1085;&#1072;%202008&#107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055;&#1060;&#1061;&#1044;%20&#1085;&#1077;%20&#1074;&#1077;&#1088;&#1085;&#1086;/&#1058;&#1080;&#1085;&#1089;&#1082;&#1072;&#1103;%20&#1096;&#1080;%20%20&#1055;&#1060;&#1061;&#1044;%202018%20&#1075;&#1086;&#1076;%20%20(%20&#1089;%20&#1087;&#1086;&#1087;&#1088;&#1072;&#1074;&#1082;&#1072;&#1084;&#1080;%2025.12.2017)&#1087;&#1086;&#1083;&#110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017%20&#1075;&#1086;&#1076;/&#1055;&#1060;&#1061;&#1044;%202017%20&#1075;&#1086;&#1076;/&#1082;%20&#1055;&#1060;&#1061;&#1044;%20&#1085;&#1072;%202017%2030.06.2017/&#1053;&#1054;&#1042;&#1067;&#1049;%20&#1055;&#1060;&#1061;&#1044;%20&#1089;%2030.06.2017/&#1055;&#1072;&#1088;&#1090;&#1080;&#1079;&#1072;&#1085;&#1089;&#1082;&#1072;&#1103;%20&#1096;&#1082;/4.%20&#1055;&#1072;&#1088;&#1090;&#1080;&#1079;&#1072;&#1085;&#1089;&#1082;&#1072;&#1103;%20&#1096;&#1082;%20%20%20&#1055;&#1060;&#1061;&#1044;%20%2014.12.2017%20(%20&#1075;&#1086;&#1076;)2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017%20&#1075;&#1086;&#1076;/&#1055;&#1060;&#1061;&#1044;%202017%20&#1075;&#1086;&#1076;/&#1058;&#1080;&#1085;&#1089;&#1082;&#1072;&#1103;%20&#1054;&#1064;&#1048;%20&#1055;&#1060;&#1061;&#1044;%202017/2017%20&#1088;&#1072;&#1089;&#1095;&#1077;&#1090;&#1099;%20&#1082;%20&#1055;&#1060;&#1061;&#1044;/&#1058;&#1080;&#1085;&#1089;&#1082;&#1072;&#1103;%20&#1054;&#1064;%20&#1055;&#1088;&#1080;&#1083;.12%20&#1054;&#1073;&#1088;&#1072;&#1079;&#1077;&#1094;%20&#1089;&#1084;&#1077;&#1090;&#1099;%20&#1085;&#1072;%202017%20&#1075;&#1086;&#1076;%20&#1041;&#1059;,%20&#1040;&#1059;%20(&#1082;&#1088;&#1072;&#108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2018\&#1055;&#1060;&#1061;&#1044;%202018\&#1058;&#1080;&#1085;&#1089;&#1082;&#1072;&#1103;%20&#1096;&#1082;%202018\1.&#1058;&#1080;&#1085;&#1089;&#1082;&#1072;&#1103;%20&#1096;&#1080;%20%20&#1055;&#1060;&#1061;&#1044;%202018%20&#1075;&#1086;&#1076;%20%20(%20&#1089;%20&#1087;&#1086;&#1087;&#1088;&#1072;&#1074;&#1082;&#1072;&#1084;&#1080;%2025.12.201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штатное_расписание"/>
      <sheetName val="оклады"/>
      <sheetName val="Лист2"/>
    </sheetNames>
    <sheetDataSet>
      <sheetData sheetId="0"/>
      <sheetData sheetId="1">
        <row r="12">
          <cell r="B12">
            <v>1</v>
          </cell>
          <cell r="C12">
            <v>2</v>
          </cell>
          <cell r="D12">
            <v>3</v>
          </cell>
          <cell r="E12">
            <v>4</v>
          </cell>
          <cell r="F12">
            <v>5</v>
          </cell>
          <cell r="G12">
            <v>6</v>
          </cell>
          <cell r="H12">
            <v>7</v>
          </cell>
          <cell r="I12">
            <v>8</v>
          </cell>
          <cell r="J12">
            <v>9</v>
          </cell>
          <cell r="K12">
            <v>10</v>
          </cell>
          <cell r="L12">
            <v>11</v>
          </cell>
          <cell r="M12">
            <v>12</v>
          </cell>
          <cell r="N12">
            <v>13</v>
          </cell>
          <cell r="O12">
            <v>14</v>
          </cell>
          <cell r="P12">
            <v>15</v>
          </cell>
          <cell r="Q12">
            <v>16</v>
          </cell>
          <cell r="R12">
            <v>17</v>
          </cell>
          <cell r="S12">
            <v>18</v>
          </cell>
        </row>
        <row r="13">
          <cell r="B13">
            <v>1404</v>
          </cell>
          <cell r="C13">
            <v>1460</v>
          </cell>
          <cell r="D13">
            <v>1530</v>
          </cell>
          <cell r="E13">
            <v>1603</v>
          </cell>
          <cell r="F13">
            <v>1780</v>
          </cell>
          <cell r="G13">
            <v>1976</v>
          </cell>
          <cell r="H13">
            <v>2171</v>
          </cell>
          <cell r="I13">
            <v>2386</v>
          </cell>
          <cell r="J13">
            <v>2620</v>
          </cell>
          <cell r="K13">
            <v>2874</v>
          </cell>
          <cell r="L13">
            <v>3148</v>
          </cell>
          <cell r="M13">
            <v>3402</v>
          </cell>
          <cell r="N13">
            <v>3676</v>
          </cell>
          <cell r="O13">
            <v>3950</v>
          </cell>
          <cell r="P13">
            <v>4263</v>
          </cell>
          <cell r="Q13">
            <v>4576</v>
          </cell>
          <cell r="R13">
            <v>4928</v>
          </cell>
          <cell r="S13">
            <v>6318</v>
          </cell>
        </row>
      </sheetData>
      <sheetData sheetId="2"/>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Приложение 4"/>
      <sheetName val="Приложение 5"/>
      <sheetName val="ПР.1 Заголовочная часть БУ"/>
      <sheetName val="Заголовочная часть АУ"/>
      <sheetName val="Сведения"/>
      <sheetName val="Таблица №1"/>
      <sheetName val="Таблица № 2"/>
      <sheetName val="доходы"/>
      <sheetName val="Таблица № 3"/>
      <sheetName val="Таблицы №№ 4,5 (2)"/>
      <sheetName val="план график"/>
      <sheetName val="Приложение 2"/>
      <sheetName val="ВР 211"/>
      <sheetName val="211 фонд"/>
      <sheetName val="ВР211(т.2.1) штат. 01.01.18"/>
      <sheetName val="празднич"/>
      <sheetName val="ночные"/>
      <sheetName val="(таб2.2)расчет  с 01.01.18"/>
      <sheetName val="212 команд"/>
      <sheetName val="212 пособие ( 2018) "/>
      <sheetName val="212 пособие ( 2019-20)"/>
      <sheetName val="213 "/>
      <sheetName val="(213 расчет )"/>
      <sheetName val="221"/>
      <sheetName val="222"/>
      <sheetName val="223 свод"/>
      <sheetName val="223"/>
      <sheetName val="224"/>
      <sheetName val="225 ( 2018) "/>
      <sheetName val="225 ( 2019-20)"/>
      <sheetName val="226 ( 2018)  "/>
      <sheetName val="226  (2019-20)"/>
      <sheetName val="226 осаго "/>
      <sheetName val="226медосмотр"/>
      <sheetName val="340 свод 2018 "/>
      <sheetName val="340 свод 2019"/>
      <sheetName val="340 свод 2020"/>
      <sheetName val="340 мат. запасы 2018"/>
      <sheetName val="340  мат.запасы 2019"/>
      <sheetName val="340  мат.запасы 2020"/>
      <sheetName val="340 гсм"/>
      <sheetName val="Мягкий инв2018"/>
      <sheetName val="Мягкий инв 2019"/>
      <sheetName val="Мягкий инв 2020"/>
      <sheetName val="спецодежда(2018) "/>
      <sheetName val=" спецодежда (2019-20)"/>
      <sheetName val="дети с ОВЗ"/>
      <sheetName val="340 пит прих 2018(7-10)"/>
      <sheetName val="340 пит прих 2018(11-18)"/>
      <sheetName val="340 пит интер 2018 ( 7-10)"/>
      <sheetName val="340 пит интер 2018 ( 11-18)"/>
      <sheetName val="340 пит прих 2019(7-10)"/>
      <sheetName val="340 пит прих 2019(11-18) "/>
      <sheetName val="340 пит интер 2019 ( 7-10)"/>
      <sheetName val="340 пит интер 2019 ( 11-18) "/>
      <sheetName val="340 пит прих 2020(7-10)"/>
      <sheetName val="340 пит прих 2020(11-18)"/>
      <sheetName val="340 пит интер 2020 ( 7-10) "/>
      <sheetName val="340 пит интер 2020 ( 11-18)"/>
      <sheetName val="290 налоги ВР 853"/>
      <sheetName val="290 ВР 852 ( госпош)"/>
      <sheetName val="ЦСраш 2018нов"/>
      <sheetName val="ЦС ( 2018) "/>
      <sheetName val="ЦСраш 2019"/>
      <sheetName val="ЦСраш 2020 "/>
      <sheetName val="ЦС ( 2019-20)"/>
      <sheetName val="310"/>
      <sheetName val="310 учеб."/>
      <sheetName val="225ЦС"/>
      <sheetName val="226 ЦС"/>
      <sheetName val="310 АТ"/>
      <sheetName val="ПНО  2018"/>
      <sheetName val="Расчет комп надомн 2018"/>
      <sheetName val="ПНО  2019"/>
      <sheetName val="Расчет комп надомн 2019"/>
      <sheetName val="ПНО  2020"/>
      <sheetName val="Расчет комп надомн 2020"/>
      <sheetName val="расчет контингента 2018"/>
      <sheetName val="расчет контингента 2019г"/>
      <sheetName val="расчет контингента 2020г"/>
      <sheetName val="КАП.ВЛ."/>
      <sheetName val="340 мат. запасы УЧ.ЦЕЛИ"/>
      <sheetName val="Мягкий инв.ОБЩ"/>
      <sheetName val="290 прочее"/>
      <sheetName val="контингент"/>
      <sheetName val="общежитие"/>
      <sheetName val="212 льгот.проезд"/>
      <sheetName val="212 переезд"/>
      <sheetName val="ПИТАНИЕ"/>
      <sheetName val="СТИПЕНДИЯ"/>
      <sheetName val="71"/>
      <sheetName val="72"/>
      <sheetName val="78"/>
      <sheetName val="78 (2)"/>
      <sheetName val="78 (3)"/>
      <sheetName val="79"/>
      <sheetName val="79 (2)"/>
      <sheetName val="609"/>
      <sheetName val="612"/>
      <sheetName val="Врем. передача "/>
      <sheetName val="Личные расходы"/>
      <sheetName val="путевк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ow r="9">
          <cell r="F9">
            <v>85000</v>
          </cell>
        </row>
      </sheetData>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Приложение 4"/>
      <sheetName val="Приложение 5"/>
      <sheetName val="ПР.1 Заголовочная часть БУ"/>
      <sheetName val="Сведения"/>
      <sheetName val="Таблица №1"/>
      <sheetName val="Таблица № 2"/>
      <sheetName val="Таблица № 3"/>
      <sheetName val="Таблицы №№ 4,5"/>
      <sheetName val="211"/>
      <sheetName val="212 уход"/>
      <sheetName val="213"/>
      <sheetName val="расчет 213"/>
      <sheetName val="226"/>
      <sheetName val="226 осаго"/>
      <sheetName val="226медосмотр"/>
      <sheetName val="340 свод"/>
      <sheetName val="340 мат запасы"/>
      <sheetName val="ГСМ"/>
      <sheetName val="ЦС"/>
      <sheetName val="310"/>
      <sheetName val="340 иные"/>
    </sheetNames>
    <sheetDataSet>
      <sheetData sheetId="0"/>
      <sheetData sheetId="1"/>
      <sheetData sheetId="2"/>
      <sheetData sheetId="3"/>
      <sheetData sheetId="4"/>
      <sheetData sheetId="5"/>
      <sheetData sheetId="6"/>
      <sheetData sheetId="7"/>
      <sheetData sheetId="8"/>
      <sheetData sheetId="9">
        <row r="15">
          <cell r="F15">
            <v>1450.8999999999999</v>
          </cell>
        </row>
      </sheetData>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ТИНСКАЯ с 01.12.2017"/>
      <sheetName val="празднич"/>
      <sheetName val="ночные"/>
      <sheetName val="прилож с 01.12.2017 "/>
    </sheetNames>
    <sheetDataSet>
      <sheetData sheetId="0">
        <row r="31">
          <cell r="H31">
            <v>13282.48</v>
          </cell>
          <cell r="J31">
            <v>2656.5</v>
          </cell>
          <cell r="K31">
            <v>1992.37</v>
          </cell>
          <cell r="L31">
            <v>3320.62</v>
          </cell>
        </row>
        <row r="32">
          <cell r="H32">
            <v>9297.74</v>
          </cell>
          <cell r="J32">
            <v>1859.55</v>
          </cell>
          <cell r="K32">
            <v>1394.66</v>
          </cell>
          <cell r="L32">
            <v>2324.44</v>
          </cell>
        </row>
        <row r="33">
          <cell r="H33">
            <v>9297.74</v>
          </cell>
          <cell r="J33">
            <v>1859.55</v>
          </cell>
          <cell r="K33">
            <v>1394.66</v>
          </cell>
          <cell r="L33">
            <v>2324.44</v>
          </cell>
        </row>
        <row r="34">
          <cell r="H34">
            <v>3828</v>
          </cell>
          <cell r="I34">
            <v>153.12</v>
          </cell>
          <cell r="J34">
            <v>765.6</v>
          </cell>
          <cell r="K34">
            <v>574.20000000000005</v>
          </cell>
          <cell r="L34">
            <v>957</v>
          </cell>
        </row>
        <row r="35">
          <cell r="H35">
            <v>62784.51</v>
          </cell>
          <cell r="J35">
            <v>11909.33</v>
          </cell>
          <cell r="K35">
            <v>8932</v>
          </cell>
          <cell r="L35">
            <v>14886.67</v>
          </cell>
          <cell r="M35">
            <v>2381.87</v>
          </cell>
        </row>
        <row r="36">
          <cell r="H36">
            <v>32895.33</v>
          </cell>
          <cell r="J36">
            <v>6402.67</v>
          </cell>
          <cell r="K36">
            <v>4802</v>
          </cell>
          <cell r="L36">
            <v>8003.33</v>
          </cell>
          <cell r="M36">
            <v>522.66999999999996</v>
          </cell>
        </row>
        <row r="37">
          <cell r="H37">
            <v>10048.5</v>
          </cell>
          <cell r="J37">
            <v>2009.7</v>
          </cell>
          <cell r="K37">
            <v>1507.28</v>
          </cell>
          <cell r="L37">
            <v>2512.13</v>
          </cell>
        </row>
        <row r="38">
          <cell r="H38">
            <v>6699</v>
          </cell>
          <cell r="J38">
            <v>1339.8</v>
          </cell>
          <cell r="K38">
            <v>1004.85</v>
          </cell>
          <cell r="L38">
            <v>1674.75</v>
          </cell>
        </row>
        <row r="39">
          <cell r="H39">
            <v>14930.36</v>
          </cell>
          <cell r="J39">
            <v>2986.07</v>
          </cell>
          <cell r="K39">
            <v>2239.5500000000002</v>
          </cell>
          <cell r="L39">
            <v>3732.59</v>
          </cell>
          <cell r="O39">
            <v>2026.06</v>
          </cell>
        </row>
        <row r="40">
          <cell r="H40">
            <v>37127.43</v>
          </cell>
          <cell r="J40">
            <v>7264.3</v>
          </cell>
          <cell r="K40">
            <v>5448.22</v>
          </cell>
          <cell r="L40">
            <v>9080.3700000000008</v>
          </cell>
        </row>
        <row r="41">
          <cell r="H41">
            <v>5587</v>
          </cell>
          <cell r="J41">
            <v>1117.4000000000001</v>
          </cell>
          <cell r="K41">
            <v>838.05</v>
          </cell>
          <cell r="L41">
            <v>1396.75</v>
          </cell>
        </row>
        <row r="42">
          <cell r="H42">
            <v>4906</v>
          </cell>
          <cell r="J42">
            <v>981.2</v>
          </cell>
          <cell r="K42">
            <v>735.9</v>
          </cell>
          <cell r="L42">
            <v>1226.5</v>
          </cell>
        </row>
        <row r="43">
          <cell r="H43">
            <v>6119</v>
          </cell>
          <cell r="J43">
            <v>1223.8</v>
          </cell>
          <cell r="K43">
            <v>917.85</v>
          </cell>
          <cell r="L43">
            <v>1529.75</v>
          </cell>
        </row>
        <row r="44">
          <cell r="H44">
            <v>6699</v>
          </cell>
          <cell r="J44">
            <v>1339.8</v>
          </cell>
          <cell r="K44">
            <v>1004.85</v>
          </cell>
          <cell r="L44">
            <v>1674.75</v>
          </cell>
        </row>
        <row r="45">
          <cell r="H45">
            <v>1364.25</v>
          </cell>
          <cell r="J45">
            <v>341.06</v>
          </cell>
          <cell r="K45">
            <v>204.64</v>
          </cell>
          <cell r="L45">
            <v>341.06</v>
          </cell>
        </row>
        <row r="46">
          <cell r="H46">
            <v>942.75</v>
          </cell>
          <cell r="J46">
            <v>235.69</v>
          </cell>
          <cell r="K46">
            <v>141.41</v>
          </cell>
          <cell r="L46">
            <v>235.69</v>
          </cell>
        </row>
        <row r="47">
          <cell r="H47">
            <v>3484</v>
          </cell>
          <cell r="J47">
            <v>871</v>
          </cell>
          <cell r="K47">
            <v>522.6</v>
          </cell>
          <cell r="L47">
            <v>871</v>
          </cell>
        </row>
        <row r="48">
          <cell r="H48">
            <v>2857</v>
          </cell>
          <cell r="J48">
            <v>571.4</v>
          </cell>
          <cell r="K48">
            <v>428.55</v>
          </cell>
          <cell r="L48">
            <v>714.25</v>
          </cell>
        </row>
        <row r="49">
          <cell r="H49">
            <v>2377.5</v>
          </cell>
          <cell r="J49">
            <v>475.5</v>
          </cell>
          <cell r="K49">
            <v>356.63</v>
          </cell>
          <cell r="L49">
            <v>594.38</v>
          </cell>
        </row>
        <row r="50">
          <cell r="H50">
            <v>3484</v>
          </cell>
          <cell r="J50">
            <v>696.8</v>
          </cell>
          <cell r="K50">
            <v>522.6</v>
          </cell>
          <cell r="L50">
            <v>871</v>
          </cell>
        </row>
        <row r="51">
          <cell r="H51">
            <v>6428.25</v>
          </cell>
          <cell r="I51">
            <v>257.13</v>
          </cell>
          <cell r="J51">
            <v>1285.6500000000001</v>
          </cell>
          <cell r="K51">
            <v>964.24</v>
          </cell>
          <cell r="L51">
            <v>1607.06</v>
          </cell>
          <cell r="O51">
            <v>648.97</v>
          </cell>
        </row>
        <row r="52">
          <cell r="H52">
            <v>2454</v>
          </cell>
          <cell r="J52">
            <v>490.8</v>
          </cell>
          <cell r="K52">
            <v>368.1</v>
          </cell>
          <cell r="L52">
            <v>613.5</v>
          </cell>
          <cell r="O52">
            <v>148.66400000000002</v>
          </cell>
        </row>
        <row r="53">
          <cell r="H53">
            <v>4294.5</v>
          </cell>
          <cell r="J53">
            <v>858.9</v>
          </cell>
          <cell r="K53">
            <v>644.17999999999995</v>
          </cell>
          <cell r="L53">
            <v>1073.6300000000001</v>
          </cell>
          <cell r="O53">
            <v>260.16200000000003</v>
          </cell>
        </row>
        <row r="54">
          <cell r="H54">
            <v>2454</v>
          </cell>
          <cell r="J54">
            <v>490.8</v>
          </cell>
          <cell r="K54">
            <v>368.1</v>
          </cell>
          <cell r="L54">
            <v>613.5</v>
          </cell>
        </row>
        <row r="55">
          <cell r="H55">
            <v>2454</v>
          </cell>
          <cell r="J55">
            <v>490.8</v>
          </cell>
          <cell r="K55">
            <v>368.1</v>
          </cell>
          <cell r="L55">
            <v>613.5</v>
          </cell>
        </row>
        <row r="56">
          <cell r="H56">
            <v>26257.8</v>
          </cell>
          <cell r="J56">
            <v>5251.56</v>
          </cell>
          <cell r="K56">
            <v>3938.67</v>
          </cell>
          <cell r="L56">
            <v>6564.45</v>
          </cell>
          <cell r="O56">
            <v>4467.4400000000005</v>
          </cell>
        </row>
        <row r="57">
          <cell r="H57">
            <v>4908</v>
          </cell>
          <cell r="J57">
            <v>981.6</v>
          </cell>
          <cell r="K57">
            <v>736.2</v>
          </cell>
          <cell r="L57">
            <v>1227</v>
          </cell>
        </row>
        <row r="58">
          <cell r="H58">
            <v>14839.6</v>
          </cell>
          <cell r="J58">
            <v>2967.92</v>
          </cell>
          <cell r="K58">
            <v>2225.94</v>
          </cell>
          <cell r="L58">
            <v>3709.9</v>
          </cell>
          <cell r="O58">
            <v>5959.46</v>
          </cell>
        </row>
        <row r="59">
          <cell r="H59">
            <v>23313</v>
          </cell>
          <cell r="J59">
            <v>4662.6000000000004</v>
          </cell>
          <cell r="K59">
            <v>3496.95</v>
          </cell>
          <cell r="L59">
            <v>5828.25</v>
          </cell>
        </row>
        <row r="60">
          <cell r="H60">
            <v>3484</v>
          </cell>
          <cell r="J60">
            <v>696.8</v>
          </cell>
          <cell r="K60">
            <v>522.6</v>
          </cell>
          <cell r="L60">
            <v>871</v>
          </cell>
        </row>
        <row r="61">
          <cell r="H61">
            <v>9224</v>
          </cell>
          <cell r="J61">
            <v>1844.8</v>
          </cell>
          <cell r="K61">
            <v>1383.6</v>
          </cell>
          <cell r="L61">
            <v>2306</v>
          </cell>
        </row>
        <row r="62">
          <cell r="H62">
            <v>6748.5</v>
          </cell>
          <cell r="J62">
            <v>1349.7</v>
          </cell>
          <cell r="K62">
            <v>1012.28</v>
          </cell>
          <cell r="L62">
            <v>1687.13</v>
          </cell>
        </row>
        <row r="69">
          <cell r="P69">
            <v>223691.377539115</v>
          </cell>
        </row>
        <row r="86">
          <cell r="P86">
            <v>899.3601642646363</v>
          </cell>
        </row>
        <row r="103">
          <cell r="P103">
            <v>13778.118336572874</v>
          </cell>
        </row>
        <row r="121">
          <cell r="P121">
            <v>334718.28915479872</v>
          </cell>
        </row>
      </sheetData>
      <sheetData sheetId="1"/>
      <sheetData sheetId="2"/>
      <sheetData sheetId="3"/>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ТИНСКАЯ с 01.01.2018"/>
      <sheetName val="празднич"/>
      <sheetName val="ночные"/>
      <sheetName val="приложение 01.01.18 "/>
    </sheetNames>
    <sheetDataSet>
      <sheetData sheetId="0">
        <row r="39">
          <cell r="E39">
            <v>2.44</v>
          </cell>
          <cell r="F39">
            <v>6364</v>
          </cell>
        </row>
        <row r="40">
          <cell r="E40">
            <v>6.76</v>
          </cell>
          <cell r="F40">
            <v>5588</v>
          </cell>
        </row>
        <row r="51">
          <cell r="E51">
            <v>2.25</v>
          </cell>
          <cell r="H51">
            <v>6684.75</v>
          </cell>
        </row>
        <row r="52">
          <cell r="E52">
            <v>1</v>
          </cell>
          <cell r="H52">
            <v>2552</v>
          </cell>
        </row>
        <row r="53">
          <cell r="E53">
            <v>1.75</v>
          </cell>
          <cell r="H53">
            <v>4466</v>
          </cell>
        </row>
        <row r="56">
          <cell r="E56">
            <v>10.7</v>
          </cell>
          <cell r="H56">
            <v>27306.400000000001</v>
          </cell>
        </row>
        <row r="58">
          <cell r="E58">
            <v>4.5999999999999996</v>
          </cell>
          <cell r="H58">
            <v>15433</v>
          </cell>
        </row>
      </sheetData>
      <sheetData sheetId="1">
        <row r="26">
          <cell r="F26">
            <v>689.02</v>
          </cell>
        </row>
        <row r="41">
          <cell r="F41">
            <v>2112.3200000000002</v>
          </cell>
        </row>
        <row r="46">
          <cell r="F46">
            <v>870.24</v>
          </cell>
        </row>
        <row r="52">
          <cell r="F52">
            <v>675.85</v>
          </cell>
        </row>
        <row r="57">
          <cell r="F57">
            <v>580.26</v>
          </cell>
        </row>
      </sheetData>
      <sheetData sheetId="2">
        <row r="26">
          <cell r="F26">
            <v>3767.3</v>
          </cell>
        </row>
        <row r="40">
          <cell r="F40">
            <v>5505.54</v>
          </cell>
        </row>
        <row r="67">
          <cell r="B67">
            <v>9272.84</v>
          </cell>
        </row>
      </sheetData>
      <sheetData sheetId="3"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штат с повыш 2008"/>
      <sheetName val="замена с повыш 2008"/>
      <sheetName val="празнич. на 2008г."/>
      <sheetName val="ночные на 2008г."/>
      <sheetName val="Штатное на 2008г."/>
      <sheetName val="Замена на 2008г."/>
      <sheetName val="не надо"/>
      <sheetName val="замена штатное 2009"/>
      <sheetName val="свод штатное 2009"/>
      <sheetName val="дефицит 2009г"/>
    </sheetNames>
    <sheetDataSet>
      <sheetData sheetId="0"/>
      <sheetData sheetId="1"/>
      <sheetData sheetId="2"/>
      <sheetData sheetId="3" refreshError="1">
        <row r="63">
          <cell r="F63">
            <v>0</v>
          </cell>
        </row>
      </sheetData>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ЦС расш 2018"/>
      <sheetName val="ЦС расш 2019"/>
      <sheetName val="ЦС расш 2020"/>
      <sheetName val="Приложение 4"/>
      <sheetName val="Приложение 5"/>
      <sheetName val="ПР.1 Заголовочная часть БУ"/>
      <sheetName val="Заголовочная часть АУ"/>
      <sheetName val="Сведения"/>
      <sheetName val="Таблица №1"/>
      <sheetName val="Таблица № 2"/>
      <sheetName val="доходы"/>
      <sheetName val="Таблица № 3"/>
      <sheetName val="Таблицы №№ 4,5"/>
      <sheetName val="Приложение 2"/>
      <sheetName val="ВР 211"/>
      <sheetName val="211 фонд"/>
      <sheetName val="ВР211(т.2.1) штат. 01.01.18"/>
      <sheetName val="празднич"/>
      <sheetName val="ночные"/>
      <sheetName val="(таб2.2)расчет  с 01.01.18"/>
      <sheetName val="212 команд"/>
      <sheetName val="212 пособие ( 2018) "/>
      <sheetName val="212 пособие ( 2019-20)"/>
      <sheetName val="213 "/>
      <sheetName val="(213 расчет )"/>
      <sheetName val="221"/>
      <sheetName val="222"/>
      <sheetName val="223 свод"/>
      <sheetName val="223"/>
      <sheetName val="224"/>
      <sheetName val="225 ( 2018) "/>
      <sheetName val="225 ( 2019-20)"/>
      <sheetName val="226 ( 2018)  "/>
      <sheetName val="226  (2019-20)"/>
      <sheetName val="226 осаго "/>
      <sheetName val="226медосмотр"/>
      <sheetName val="340 свод 2018 "/>
      <sheetName val="340 свод 2019"/>
      <sheetName val="340 свод 2020"/>
      <sheetName val="340 мат. запасы 2018"/>
      <sheetName val="340  мат.запасы 2019"/>
      <sheetName val="340  мат.запасы 2020"/>
      <sheetName val="340 гсм"/>
      <sheetName val="Мягкий инв2018"/>
      <sheetName val="Мягкий инв 2019"/>
      <sheetName val="Мягкий инв 2020"/>
      <sheetName val="спецодежда(2018) "/>
      <sheetName val=" спецодежда (2019-20)"/>
      <sheetName val="дети с ОВЗ"/>
      <sheetName val="340 пит прих 2018(7-10)"/>
      <sheetName val="340 пит прих 2018(11-18)"/>
      <sheetName val="340 пит интер 2018 ( 7-10)"/>
      <sheetName val="340 пит интер 2018 ( 11-18)"/>
      <sheetName val="340 пит прих 2019(7-10)"/>
      <sheetName val="340 пит прих 2019(11-18) "/>
      <sheetName val="340 пит интер 2019 ( 7-10)"/>
      <sheetName val="340 пит интер 2019 ( 11-18) "/>
      <sheetName val="340 пит прих 2020(7-10)"/>
      <sheetName val="340 пит прих 2020(11-18)"/>
      <sheetName val="340 пит интер 2020 ( 7-10) "/>
      <sheetName val="340 пит интер 2020 ( 11-18)"/>
      <sheetName val="290 налоги ВР 853"/>
      <sheetName val="290 ВР 852 ( госпош)"/>
      <sheetName val="ЦС ( 2018) "/>
      <sheetName val="ЦС ( 2019-20)"/>
      <sheetName val="310"/>
      <sheetName val="310 учеб."/>
      <sheetName val="310 АТ"/>
      <sheetName val="ПНО  2018"/>
      <sheetName val="Расчет комп надомн 2018"/>
      <sheetName val="ПНО  2019"/>
      <sheetName val="Расчет комп надомн 2019"/>
      <sheetName val="ПНО  2020"/>
      <sheetName val="Расчет комп надомн 2020"/>
      <sheetName val="расчет контингента 2018"/>
      <sheetName val="расчет контингента 2019г"/>
      <sheetName val="расчет контингента 2020г"/>
      <sheetName val="КАП.ВЛ."/>
      <sheetName val="340 мат. запасы УЧ.ЦЕЛИ"/>
      <sheetName val="Мягкий инв.ОБЩ"/>
      <sheetName val="290 прочее"/>
      <sheetName val="контингент"/>
      <sheetName val="общежитие"/>
      <sheetName val="212 льгот.проезд"/>
      <sheetName val="212 переезд"/>
      <sheetName val="ПИТАНИЕ"/>
      <sheetName val="СТИПЕНДИЯ"/>
      <sheetName val="71"/>
      <sheetName val="72"/>
      <sheetName val="78"/>
      <sheetName val="78 (2)"/>
      <sheetName val="78 (3)"/>
      <sheetName val="79"/>
      <sheetName val="79 (2)"/>
      <sheetName val="609"/>
      <sheetName val="612"/>
      <sheetName val="Врем. передача "/>
      <sheetName val="Личные расходы"/>
      <sheetName val="путев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ow r="13">
          <cell r="I13">
            <v>15328.69</v>
          </cell>
        </row>
      </sheetData>
      <sheetData sheetId="35">
        <row r="35">
          <cell r="F35">
            <v>132732</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ЦС 2017"/>
      <sheetName val="Приложение 4"/>
      <sheetName val="Приложение 5"/>
      <sheetName val="ПР.1 Заголовочная часть БУ"/>
      <sheetName val="Заголовочная часть АУ"/>
      <sheetName val="Сведения"/>
      <sheetName val="Таблица №1"/>
      <sheetName val="Таблица № 2"/>
      <sheetName val="Таблица № 3"/>
      <sheetName val="Таблицы №№ 4,5"/>
      <sheetName val="Приложение 2"/>
      <sheetName val="доходы"/>
      <sheetName val="211"/>
      <sheetName val="211 фонд"/>
      <sheetName val="213"/>
      <sheetName val="213расчет"/>
      <sheetName val="212"/>
      <sheetName val="212 уход"/>
      <sheetName val="225"/>
      <sheetName val="221"/>
      <sheetName val="222"/>
      <sheetName val="223 свод"/>
      <sheetName val="223 "/>
      <sheetName val="224"/>
      <sheetName val="290 налоги ВР 853( 2017)"/>
      <sheetName val="290 налоги ВР 853 (2018-2019)"/>
      <sheetName val="290 налоги ВР 852 ( 2017)"/>
      <sheetName val="226"/>
      <sheetName val="226 осаго"/>
      <sheetName val="226 медосмотр"/>
      <sheetName val="340 свод"/>
      <sheetName val="340 мат. запасы"/>
      <sheetName val="340 гсм"/>
      <sheetName val="Партиз  шк (06.10)"/>
      <sheetName val="с-ть пит 2017 2 полуг без10  (2"/>
      <sheetName val="питание расчет"/>
      <sheetName val="ЦС"/>
      <sheetName val="Мягкий инв.ОБЩ"/>
      <sheetName val="Мягкий инв."/>
      <sheetName val="спецодежда "/>
      <sheetName val="Расчет комп надомн"/>
      <sheetName val="340 мат. запасы УЧ.ЦЕЛИ"/>
      <sheetName val="290 налоги"/>
      <sheetName val="290 прочее"/>
      <sheetName val="контингент"/>
      <sheetName val="общежитие"/>
      <sheetName val="212 льгот.проезд"/>
      <sheetName val="212 переезд"/>
      <sheetName val="310"/>
      <sheetName val="310 учеб."/>
      <sheetName val="310 АТ"/>
      <sheetName val="ПИТАНИЕ"/>
      <sheetName val="СТИПЕНДИЯ"/>
      <sheetName val="ПНО"/>
      <sheetName val="71"/>
      <sheetName val="72"/>
      <sheetName val="78"/>
      <sheetName val="78 (2)"/>
      <sheetName val="78 (3)"/>
      <sheetName val="79"/>
      <sheetName val="79 (2)"/>
      <sheetName val="609"/>
      <sheetName val="612"/>
      <sheetName val="Врем. передача "/>
      <sheetName val="Личные расходы"/>
      <sheetName val="путевки"/>
      <sheetName val="КАП.ВЛ."/>
      <sheetName val="расчет контингент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340 медикам."/>
      <sheetName val="340 прочее"/>
      <sheetName val="340 быт.хим."/>
      <sheetName val="340 инструм."/>
      <sheetName val="340 посуда"/>
      <sheetName val="340 сад."/>
      <sheetName val="340 запчасти."/>
      <sheetName val="340 бланки"/>
      <sheetName val="340 электро."/>
      <sheetName val="340 строит."/>
      <sheetName val="340 хоз.быт."/>
      <sheetName val="340 ср.автомат."/>
      <sheetName val="340 расх.матер."/>
      <sheetName val="340 канц."/>
      <sheetName val="340 фурнит."/>
      <sheetName val="340 спецодежда"/>
      <sheetName val="Обмундир. интернир (2016)"/>
      <sheetName val="Обм. инт 2017  (факт)"/>
      <sheetName val="Обмундир. интернир  2017 "/>
      <sheetName val="340 ГСМ."/>
      <sheetName val="сть- питания 2017"/>
      <sheetName val="340 пит прих 2017(7-10)"/>
      <sheetName val="340 пит прих 2017(11-18)"/>
      <sheetName val="340 пит интер 2017 ( 7-10)"/>
      <sheetName val="340 пит интер 2017 ( 11-18)"/>
      <sheetName val="340 свод"/>
      <sheetName val="300"/>
      <sheetName val="290 "/>
      <sheetName val="262"/>
      <sheetName val="260"/>
      <sheetName val="226 прож. "/>
      <sheetName val="226 экс."/>
      <sheetName val="226 внешт."/>
      <sheetName val="226 подписка"/>
      <sheetName val="226 обучение"/>
      <sheetName val="226 страхов."/>
      <sheetName val="226 свод."/>
      <sheetName val="225 внешт."/>
      <sheetName val="225 ремонт"/>
      <sheetName val="225 трансп."/>
      <sheetName val="225 свод."/>
      <sheetName val="224"/>
      <sheetName val="расчет 223"/>
      <sheetName val="223 СВОД"/>
      <sheetName val="222проезд "/>
      <sheetName val="222 трансп.усл."/>
      <sheetName val="222 свод"/>
      <sheetName val="221 расч."/>
      <sheetName val="221 свод"/>
      <sheetName val="220"/>
      <sheetName val="200"/>
      <sheetName val="213"/>
      <sheetName val="212 сут."/>
      <sheetName val="212 пособ."/>
      <sheetName val="212 свод"/>
      <sheetName val="211 сокр."/>
      <sheetName val="211 свод"/>
      <sheetName val="ВР611 210"/>
      <sheetName val="СВОД 611ВР ЦСР"/>
      <sheetName val="путевки"/>
      <sheetName val="СВОД путевки"/>
      <sheetName val="СВОД 611ВР"/>
      <sheetName val="310 нагл.пособ."/>
      <sheetName val="212 льгот.проезд"/>
      <sheetName val="310 проч."/>
      <sheetName val="310 учеб."/>
      <sheetName val="310 свод"/>
      <sheetName val="СВОД 612ВР"/>
      <sheetName val="СВОД В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36">
          <cell r="E36">
            <v>588</v>
          </cell>
        </row>
        <row r="38">
          <cell r="F38">
            <v>70124.88</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ЦС расш 2019"/>
      <sheetName val="ЦС расш 2020"/>
      <sheetName val="Приложение 4"/>
      <sheetName val="Приложение 5"/>
      <sheetName val="ПР.1 Заголовочная часть БУ"/>
      <sheetName val="Заголовочная часть АУ"/>
      <sheetName val="Сведения"/>
      <sheetName val="Таблица №1"/>
      <sheetName val="Таблица № 2"/>
      <sheetName val="доходы"/>
      <sheetName val="Таблица № 3"/>
      <sheetName val="Таблицы №№ 4,5"/>
      <sheetName val="Таблицы №№ 4,5 (2)"/>
      <sheetName val="план график"/>
      <sheetName val="Приложение 2"/>
      <sheetName val="ВР 211"/>
      <sheetName val="211 фонд"/>
      <sheetName val="ВР211(т.2.1) штат. 01.01.18"/>
      <sheetName val="празднич"/>
      <sheetName val="ночные"/>
      <sheetName val="(таб2.2)расчет  с 01.01.18"/>
      <sheetName val="212 команд"/>
      <sheetName val="212 пособие ( 2018) "/>
      <sheetName val="212 пособие ( 2019-20)"/>
      <sheetName val="213 "/>
      <sheetName val="(213 расчет )"/>
      <sheetName val="221"/>
      <sheetName val="222"/>
      <sheetName val="223 свод"/>
      <sheetName val="223"/>
      <sheetName val="224"/>
      <sheetName val="225 ( 2018) "/>
      <sheetName val="225 ( 2019-20)"/>
      <sheetName val="226 ( 2018)  "/>
      <sheetName val="226  (2019-20)"/>
      <sheetName val="226 осаго "/>
      <sheetName val="226медосмотр"/>
      <sheetName val="340 свод 2018 "/>
      <sheetName val="340 свод 2019"/>
      <sheetName val="340 свод 2020"/>
      <sheetName val="340 мат. запасы 2018"/>
      <sheetName val="340  мат.запасы 2019"/>
      <sheetName val="340  мат.запасы 2020"/>
      <sheetName val="340 гсм"/>
      <sheetName val="Мягкий инв2018"/>
      <sheetName val="Мягкий инв 2019"/>
      <sheetName val="Мягкий инв 2020"/>
      <sheetName val="спецодежда(2018) "/>
      <sheetName val=" спецодежда (2019-20)"/>
      <sheetName val="дети с ОВЗ"/>
      <sheetName val="340 пит прих 2018(7-10)"/>
      <sheetName val="340 пит прих 2018(11-18)"/>
      <sheetName val="340 пит интер 2018 ( 7-10)"/>
      <sheetName val="340 пит интер 2018 ( 11-18)"/>
      <sheetName val="340 пит прих 2019(7-10)"/>
      <sheetName val="340 пит прих 2019(11-18) "/>
      <sheetName val="340 пит интер 2019 ( 7-10)"/>
      <sheetName val="340 пит интер 2019 ( 11-18) "/>
      <sheetName val="340 пит прих 2020(7-10)"/>
      <sheetName val="340 пит прих 2020(11-18)"/>
      <sheetName val="340 пит интер 2020 ( 7-10) "/>
      <sheetName val="340 пит интер 2020 ( 11-18)"/>
      <sheetName val="290 налоги ВР 853"/>
      <sheetName val="290 ВР 852 ( госпош)"/>
      <sheetName val="ЦС расш 2018"/>
      <sheetName val="ЦСраш 2018нов"/>
      <sheetName val="ЦС ( 2018) "/>
      <sheetName val="ЦСраш 2019"/>
      <sheetName val="ЦСраш 2020 "/>
      <sheetName val="ЦС ( 2019-20)"/>
      <sheetName val="310"/>
      <sheetName val="310 учеб."/>
      <sheetName val="225ЦС"/>
      <sheetName val="226 ЦС"/>
      <sheetName val="310 АТ"/>
      <sheetName val="ПНО  2018"/>
      <sheetName val="Расчет комп надомн 2018"/>
      <sheetName val="ПНО  2019"/>
      <sheetName val="Расчет комп надомн 2019"/>
      <sheetName val="ПНО  2020"/>
      <sheetName val="Расчет комп надомн 2020"/>
      <sheetName val="расчет контингента 2018"/>
      <sheetName val="расчет контингента 2019г"/>
      <sheetName val="расчет контингента 2020г"/>
      <sheetName val="КАП.ВЛ."/>
      <sheetName val="340 мат. запасы УЧ.ЦЕЛИ"/>
      <sheetName val="Мягкий инв.ОБЩ"/>
      <sheetName val="290 прочее"/>
      <sheetName val="контингент"/>
      <sheetName val="общежитие"/>
      <sheetName val="212 льгот.проезд"/>
      <sheetName val="212 переезд"/>
      <sheetName val="ПИТАНИЕ"/>
      <sheetName val="СТИПЕНДИЯ"/>
      <sheetName val="71"/>
      <sheetName val="72"/>
      <sheetName val="78"/>
      <sheetName val="78 (2)"/>
      <sheetName val="78 (3)"/>
      <sheetName val="79"/>
      <sheetName val="79 (2)"/>
      <sheetName val="609"/>
      <sheetName val="612"/>
      <sheetName val="Врем. передача "/>
      <sheetName val="Личные расходы"/>
      <sheetName val="путевк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ow r="10">
          <cell r="F10">
            <v>305283</v>
          </cell>
        </row>
        <row r="20">
          <cell r="F20">
            <v>77677.97</v>
          </cell>
        </row>
      </sheetData>
      <sheetData sheetId="67"/>
      <sheetData sheetId="68"/>
      <sheetData sheetId="69"/>
      <sheetData sheetId="70">
        <row r="15">
          <cell r="I15">
            <v>87372</v>
          </cell>
        </row>
      </sheetData>
      <sheetData sheetId="71">
        <row r="26">
          <cell r="Q26">
            <v>85000</v>
          </cell>
        </row>
      </sheetData>
      <sheetData sheetId="72">
        <row r="14">
          <cell r="D14">
            <v>305283</v>
          </cell>
        </row>
      </sheetData>
      <sheetData sheetId="73">
        <row r="14">
          <cell r="D14">
            <v>157322.03</v>
          </cell>
        </row>
        <row r="15">
          <cell r="D15">
            <v>158125</v>
          </cell>
        </row>
      </sheetData>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consultantplus://offline/ref=985DFA738D42EACDD6D6E7A732A35EBB5EE457B5549CFFC3D82F0102A3X1PFG" TargetMode="External"/></Relationships>
</file>

<file path=xl/worksheets/_rels/sheet100.xml.rels><?xml version="1.0" encoding="UTF-8" standalone="yes"?>
<Relationships xmlns="http://schemas.openxmlformats.org/package/2006/relationships"><Relationship Id="rId3" Type="http://schemas.openxmlformats.org/officeDocument/2006/relationships/printerSettings" Target="../printerSettings/printerSettings327.bin"/><Relationship Id="rId2" Type="http://schemas.openxmlformats.org/officeDocument/2006/relationships/printerSettings" Target="../printerSettings/printerSettings326.bin"/><Relationship Id="rId1" Type="http://schemas.openxmlformats.org/officeDocument/2006/relationships/printerSettings" Target="../printerSettings/printerSettings325.bin"/><Relationship Id="rId6" Type="http://schemas.openxmlformats.org/officeDocument/2006/relationships/printerSettings" Target="../printerSettings/printerSettings330.bin"/><Relationship Id="rId5" Type="http://schemas.openxmlformats.org/officeDocument/2006/relationships/printerSettings" Target="../printerSettings/printerSettings329.bin"/><Relationship Id="rId4" Type="http://schemas.openxmlformats.org/officeDocument/2006/relationships/printerSettings" Target="../printerSettings/printerSettings328.bin"/></Relationships>
</file>

<file path=xl/worksheets/_rels/sheet101.xml.rels><?xml version="1.0" encoding="UTF-8" standalone="yes"?>
<Relationships xmlns="http://schemas.openxmlformats.org/package/2006/relationships"><Relationship Id="rId3" Type="http://schemas.openxmlformats.org/officeDocument/2006/relationships/printerSettings" Target="../printerSettings/printerSettings333.bin"/><Relationship Id="rId2" Type="http://schemas.openxmlformats.org/officeDocument/2006/relationships/printerSettings" Target="../printerSettings/printerSettings332.bin"/><Relationship Id="rId1" Type="http://schemas.openxmlformats.org/officeDocument/2006/relationships/printerSettings" Target="../printerSettings/printerSettings331.bin"/><Relationship Id="rId6" Type="http://schemas.openxmlformats.org/officeDocument/2006/relationships/printerSettings" Target="../printerSettings/printerSettings336.bin"/><Relationship Id="rId5" Type="http://schemas.openxmlformats.org/officeDocument/2006/relationships/printerSettings" Target="../printerSettings/printerSettings335.bin"/><Relationship Id="rId4" Type="http://schemas.openxmlformats.org/officeDocument/2006/relationships/printerSettings" Target="../printerSettings/printerSettings334.bin"/></Relationships>
</file>

<file path=xl/worksheets/_rels/sheet102.xml.rels><?xml version="1.0" encoding="UTF-8" standalone="yes"?>
<Relationships xmlns="http://schemas.openxmlformats.org/package/2006/relationships"><Relationship Id="rId3" Type="http://schemas.openxmlformats.org/officeDocument/2006/relationships/printerSettings" Target="../printerSettings/printerSettings339.bin"/><Relationship Id="rId2" Type="http://schemas.openxmlformats.org/officeDocument/2006/relationships/printerSettings" Target="../printerSettings/printerSettings338.bin"/><Relationship Id="rId1" Type="http://schemas.openxmlformats.org/officeDocument/2006/relationships/printerSettings" Target="../printerSettings/printerSettings337.bin"/><Relationship Id="rId6" Type="http://schemas.openxmlformats.org/officeDocument/2006/relationships/printerSettings" Target="../printerSettings/printerSettings342.bin"/><Relationship Id="rId5" Type="http://schemas.openxmlformats.org/officeDocument/2006/relationships/printerSettings" Target="../printerSettings/printerSettings341.bin"/><Relationship Id="rId4" Type="http://schemas.openxmlformats.org/officeDocument/2006/relationships/printerSettings" Target="../printerSettings/printerSettings34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5" Type="http://schemas.openxmlformats.org/officeDocument/2006/relationships/printerSettings" Target="../printerSettings/printerSettings59.bin"/><Relationship Id="rId4" Type="http://schemas.openxmlformats.org/officeDocument/2006/relationships/printerSettings" Target="../printerSettings/printerSettings5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 Id="rId6" Type="http://schemas.openxmlformats.org/officeDocument/2006/relationships/printerSettings" Target="../printerSettings/printerSettings71.bin"/><Relationship Id="rId5" Type="http://schemas.openxmlformats.org/officeDocument/2006/relationships/printerSettings" Target="../printerSettings/printerSettings70.bin"/><Relationship Id="rId4" Type="http://schemas.openxmlformats.org/officeDocument/2006/relationships/printerSettings" Target="../printerSettings/printerSettings6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6" Type="http://schemas.openxmlformats.org/officeDocument/2006/relationships/printerSettings" Target="../printerSettings/printerSettings77.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6" Type="http://schemas.openxmlformats.org/officeDocument/2006/relationships/printerSettings" Target="../printerSettings/printerSettings86.bin"/><Relationship Id="rId5" Type="http://schemas.openxmlformats.org/officeDocument/2006/relationships/printerSettings" Target="../printerSettings/printerSettings85.bin"/><Relationship Id="rId4" Type="http://schemas.openxmlformats.org/officeDocument/2006/relationships/printerSettings" Target="../printerSettings/printerSettings84.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6" Type="http://schemas.openxmlformats.org/officeDocument/2006/relationships/printerSettings" Target="../printerSettings/printerSettings92.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6" Type="http://schemas.openxmlformats.org/officeDocument/2006/relationships/printerSettings" Target="../printerSettings/printerSettings99.bin"/><Relationship Id="rId5" Type="http://schemas.openxmlformats.org/officeDocument/2006/relationships/printerSettings" Target="../printerSettings/printerSettings98.bin"/><Relationship Id="rId4" Type="http://schemas.openxmlformats.org/officeDocument/2006/relationships/printerSettings" Target="../printerSettings/printerSettings9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6" Type="http://schemas.openxmlformats.org/officeDocument/2006/relationships/printerSettings" Target="../printerSettings/printerSettings105.bin"/><Relationship Id="rId5" Type="http://schemas.openxmlformats.org/officeDocument/2006/relationships/printerSettings" Target="../printerSettings/printerSettings104.bin"/><Relationship Id="rId4" Type="http://schemas.openxmlformats.org/officeDocument/2006/relationships/printerSettings" Target="../printerSettings/printerSettings10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6" Type="http://schemas.openxmlformats.org/officeDocument/2006/relationships/printerSettings" Target="../printerSettings/printerSettings17.bin"/><Relationship Id="rId5" Type="http://schemas.openxmlformats.org/officeDocument/2006/relationships/printerSettings" Target="../printerSettings/printerSettings16.bin"/><Relationship Id="rId4" Type="http://schemas.openxmlformats.org/officeDocument/2006/relationships/printerSettings" Target="../printerSettings/printerSettings15.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17.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 Id="rId6" Type="http://schemas.openxmlformats.org/officeDocument/2006/relationships/printerSettings" Target="../printerSettings/printerSettings120.bin"/><Relationship Id="rId5" Type="http://schemas.openxmlformats.org/officeDocument/2006/relationships/printerSettings" Target="../printerSettings/printerSettings119.bin"/><Relationship Id="rId4" Type="http://schemas.openxmlformats.org/officeDocument/2006/relationships/printerSettings" Target="../printerSettings/printerSettings11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6" Type="http://schemas.openxmlformats.org/officeDocument/2006/relationships/printerSettings" Target="../printerSettings/printerSettings23.bin"/><Relationship Id="rId5" Type="http://schemas.openxmlformats.org/officeDocument/2006/relationships/printerSettings" Target="../printerSettings/printerSettings22.bin"/><Relationship Id="rId4" Type="http://schemas.openxmlformats.org/officeDocument/2006/relationships/printerSettings" Target="../printerSettings/printerSettings21.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6" Type="http://schemas.openxmlformats.org/officeDocument/2006/relationships/printerSettings" Target="../printerSettings/printerSettings128.bin"/><Relationship Id="rId5" Type="http://schemas.openxmlformats.org/officeDocument/2006/relationships/printerSettings" Target="../printerSettings/printerSettings127.bin"/><Relationship Id="rId4" Type="http://schemas.openxmlformats.org/officeDocument/2006/relationships/printerSettings" Target="../printerSettings/printerSettings126.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6" Type="http://schemas.openxmlformats.org/officeDocument/2006/relationships/printerSettings" Target="../printerSettings/printerSettings134.bin"/><Relationship Id="rId5" Type="http://schemas.openxmlformats.org/officeDocument/2006/relationships/printerSettings" Target="../printerSettings/printerSettings133.bin"/><Relationship Id="rId4" Type="http://schemas.openxmlformats.org/officeDocument/2006/relationships/printerSettings" Target="../printerSettings/printerSettings13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6" Type="http://schemas.openxmlformats.org/officeDocument/2006/relationships/printerSettings" Target="../printerSettings/printerSettings142.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6" Type="http://schemas.openxmlformats.org/officeDocument/2006/relationships/printerSettings" Target="../printerSettings/printerSettings29.bin"/><Relationship Id="rId5" Type="http://schemas.openxmlformats.org/officeDocument/2006/relationships/printerSettings" Target="../printerSettings/printerSettings28.bin"/><Relationship Id="rId4" Type="http://schemas.openxmlformats.org/officeDocument/2006/relationships/printerSettings" Target="../printerSettings/printerSettings27.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6" Type="http://schemas.openxmlformats.org/officeDocument/2006/relationships/printerSettings" Target="../printerSettings/printerSettings35.bin"/><Relationship Id="rId5" Type="http://schemas.openxmlformats.org/officeDocument/2006/relationships/printerSettings" Target="../printerSettings/printerSettings34.bin"/><Relationship Id="rId4" Type="http://schemas.openxmlformats.org/officeDocument/2006/relationships/printerSettings" Target="../printerSettings/printerSettings33.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160.bin"/><Relationship Id="rId2" Type="http://schemas.openxmlformats.org/officeDocument/2006/relationships/printerSettings" Target="../printerSettings/printerSettings159.bin"/><Relationship Id="rId1" Type="http://schemas.openxmlformats.org/officeDocument/2006/relationships/printerSettings" Target="../printerSettings/printerSettings158.bin"/><Relationship Id="rId6" Type="http://schemas.openxmlformats.org/officeDocument/2006/relationships/printerSettings" Target="../printerSettings/printerSettings163.bin"/><Relationship Id="rId5" Type="http://schemas.openxmlformats.org/officeDocument/2006/relationships/printerSettings" Target="../printerSettings/printerSettings162.bin"/><Relationship Id="rId4" Type="http://schemas.openxmlformats.org/officeDocument/2006/relationships/printerSettings" Target="../printerSettings/printerSettings1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167.bin"/><Relationship Id="rId2" Type="http://schemas.openxmlformats.org/officeDocument/2006/relationships/printerSettings" Target="../printerSettings/printerSettings166.bin"/><Relationship Id="rId1" Type="http://schemas.openxmlformats.org/officeDocument/2006/relationships/printerSettings" Target="../printerSettings/printerSettings165.bin"/><Relationship Id="rId6" Type="http://schemas.openxmlformats.org/officeDocument/2006/relationships/printerSettings" Target="../printerSettings/printerSettings170.bin"/><Relationship Id="rId5" Type="http://schemas.openxmlformats.org/officeDocument/2006/relationships/printerSettings" Target="../printerSettings/printerSettings169.bin"/><Relationship Id="rId4" Type="http://schemas.openxmlformats.org/officeDocument/2006/relationships/printerSettings" Target="../printerSettings/printerSettings168.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176.bin"/><Relationship Id="rId2" Type="http://schemas.openxmlformats.org/officeDocument/2006/relationships/printerSettings" Target="../printerSettings/printerSettings175.bin"/><Relationship Id="rId1" Type="http://schemas.openxmlformats.org/officeDocument/2006/relationships/printerSettings" Target="../printerSettings/printerSettings174.bin"/><Relationship Id="rId6" Type="http://schemas.openxmlformats.org/officeDocument/2006/relationships/printerSettings" Target="../printerSettings/printerSettings179.bin"/><Relationship Id="rId5" Type="http://schemas.openxmlformats.org/officeDocument/2006/relationships/printerSettings" Target="../printerSettings/printerSettings178.bin"/><Relationship Id="rId4" Type="http://schemas.openxmlformats.org/officeDocument/2006/relationships/printerSettings" Target="../printerSettings/printerSettings177.bin"/></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182.bin"/><Relationship Id="rId2" Type="http://schemas.openxmlformats.org/officeDocument/2006/relationships/printerSettings" Target="../printerSettings/printerSettings181.bin"/><Relationship Id="rId1" Type="http://schemas.openxmlformats.org/officeDocument/2006/relationships/printerSettings" Target="../printerSettings/printerSettings180.bin"/><Relationship Id="rId6" Type="http://schemas.openxmlformats.org/officeDocument/2006/relationships/printerSettings" Target="../printerSettings/printerSettings185.bin"/><Relationship Id="rId5" Type="http://schemas.openxmlformats.org/officeDocument/2006/relationships/printerSettings" Target="../printerSettings/printerSettings184.bin"/><Relationship Id="rId4" Type="http://schemas.openxmlformats.org/officeDocument/2006/relationships/printerSettings" Target="../printerSettings/printerSettings183.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38.bin"/><Relationship Id="rId7" Type="http://schemas.openxmlformats.org/officeDocument/2006/relationships/comments" Target="../comments1.xml"/><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vmlDrawing" Target="../drawings/vmlDrawing1.vml"/><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190.bin"/><Relationship Id="rId2" Type="http://schemas.openxmlformats.org/officeDocument/2006/relationships/printerSettings" Target="../printerSettings/printerSettings189.bin"/><Relationship Id="rId1" Type="http://schemas.openxmlformats.org/officeDocument/2006/relationships/printerSettings" Target="../printerSettings/printerSettings188.bin"/><Relationship Id="rId6" Type="http://schemas.openxmlformats.org/officeDocument/2006/relationships/printerSettings" Target="../printerSettings/printerSettings193.bin"/><Relationship Id="rId5" Type="http://schemas.openxmlformats.org/officeDocument/2006/relationships/printerSettings" Target="../printerSettings/printerSettings192.bin"/><Relationship Id="rId4" Type="http://schemas.openxmlformats.org/officeDocument/2006/relationships/printerSettings" Target="../printerSettings/printerSettings191.bin"/></Relationships>
</file>

<file path=xl/worksheets/_rels/sheet72.xml.rels><?xml version="1.0" encoding="UTF-8" standalone="yes"?>
<Relationships xmlns="http://schemas.openxmlformats.org/package/2006/relationships"><Relationship Id="rId3" Type="http://schemas.openxmlformats.org/officeDocument/2006/relationships/printerSettings" Target="../printerSettings/printerSettings196.bin"/><Relationship Id="rId2" Type="http://schemas.openxmlformats.org/officeDocument/2006/relationships/printerSettings" Target="../printerSettings/printerSettings195.bin"/><Relationship Id="rId1" Type="http://schemas.openxmlformats.org/officeDocument/2006/relationships/printerSettings" Target="../printerSettings/printerSettings194.bin"/><Relationship Id="rId6" Type="http://schemas.openxmlformats.org/officeDocument/2006/relationships/printerSettings" Target="../printerSettings/printerSettings199.bin"/><Relationship Id="rId5" Type="http://schemas.openxmlformats.org/officeDocument/2006/relationships/printerSettings" Target="../printerSettings/printerSettings198.bin"/><Relationship Id="rId4" Type="http://schemas.openxmlformats.org/officeDocument/2006/relationships/printerSettings" Target="../printerSettings/printerSettings197.bin"/></Relationships>
</file>

<file path=xl/worksheets/_rels/sheet73.xml.rels><?xml version="1.0" encoding="UTF-8" standalone="yes"?>
<Relationships xmlns="http://schemas.openxmlformats.org/package/2006/relationships"><Relationship Id="rId8" Type="http://schemas.openxmlformats.org/officeDocument/2006/relationships/comments" Target="../comments4.xml"/><Relationship Id="rId3" Type="http://schemas.openxmlformats.org/officeDocument/2006/relationships/printerSettings" Target="../printerSettings/printerSettings202.bin"/><Relationship Id="rId7" Type="http://schemas.openxmlformats.org/officeDocument/2006/relationships/vmlDrawing" Target="../drawings/vmlDrawing4.vml"/><Relationship Id="rId2" Type="http://schemas.openxmlformats.org/officeDocument/2006/relationships/printerSettings" Target="../printerSettings/printerSettings201.bin"/><Relationship Id="rId1" Type="http://schemas.openxmlformats.org/officeDocument/2006/relationships/printerSettings" Target="../printerSettings/printerSettings200.bin"/><Relationship Id="rId6" Type="http://schemas.openxmlformats.org/officeDocument/2006/relationships/printerSettings" Target="../printerSettings/printerSettings205.bin"/><Relationship Id="rId5" Type="http://schemas.openxmlformats.org/officeDocument/2006/relationships/printerSettings" Target="../printerSettings/printerSettings204.bin"/><Relationship Id="rId4" Type="http://schemas.openxmlformats.org/officeDocument/2006/relationships/printerSettings" Target="../printerSettings/printerSettings20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7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0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7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09.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printerSettings" Target="../printerSettings/printerSettings46.bin"/><Relationship Id="rId5" Type="http://schemas.openxmlformats.org/officeDocument/2006/relationships/printerSettings" Target="../printerSettings/printerSettings45.bin"/><Relationship Id="rId4" Type="http://schemas.openxmlformats.org/officeDocument/2006/relationships/printerSettings" Target="../printerSettings/printerSettings44.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215.bin"/><Relationship Id="rId2" Type="http://schemas.openxmlformats.org/officeDocument/2006/relationships/printerSettings" Target="../printerSettings/printerSettings214.bin"/><Relationship Id="rId1" Type="http://schemas.openxmlformats.org/officeDocument/2006/relationships/printerSettings" Target="../printerSettings/printerSettings213.bin"/><Relationship Id="rId6" Type="http://schemas.openxmlformats.org/officeDocument/2006/relationships/printerSettings" Target="../printerSettings/printerSettings218.bin"/><Relationship Id="rId5" Type="http://schemas.openxmlformats.org/officeDocument/2006/relationships/printerSettings" Target="../printerSettings/printerSettings217.bin"/><Relationship Id="rId4" Type="http://schemas.openxmlformats.org/officeDocument/2006/relationships/printerSettings" Target="../printerSettings/printerSettings216.bin"/></Relationships>
</file>

<file path=xl/worksheets/_rels/sheet82.xml.rels><?xml version="1.0" encoding="UTF-8" standalone="yes"?>
<Relationships xmlns="http://schemas.openxmlformats.org/package/2006/relationships"><Relationship Id="rId3" Type="http://schemas.openxmlformats.org/officeDocument/2006/relationships/printerSettings" Target="../printerSettings/printerSettings221.bin"/><Relationship Id="rId2" Type="http://schemas.openxmlformats.org/officeDocument/2006/relationships/printerSettings" Target="../printerSettings/printerSettings220.bin"/><Relationship Id="rId1" Type="http://schemas.openxmlformats.org/officeDocument/2006/relationships/printerSettings" Target="../printerSettings/printerSettings219.bin"/><Relationship Id="rId6" Type="http://schemas.openxmlformats.org/officeDocument/2006/relationships/printerSettings" Target="../printerSettings/printerSettings224.bin"/><Relationship Id="rId5" Type="http://schemas.openxmlformats.org/officeDocument/2006/relationships/printerSettings" Target="../printerSettings/printerSettings223.bin"/><Relationship Id="rId4" Type="http://schemas.openxmlformats.org/officeDocument/2006/relationships/printerSettings" Target="../printerSettings/printerSettings222.bin"/></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227.bin"/><Relationship Id="rId2" Type="http://schemas.openxmlformats.org/officeDocument/2006/relationships/printerSettings" Target="../printerSettings/printerSettings226.bin"/><Relationship Id="rId1" Type="http://schemas.openxmlformats.org/officeDocument/2006/relationships/printerSettings" Target="../printerSettings/printerSettings225.bin"/><Relationship Id="rId6" Type="http://schemas.openxmlformats.org/officeDocument/2006/relationships/printerSettings" Target="../printerSettings/printerSettings230.bin"/><Relationship Id="rId5" Type="http://schemas.openxmlformats.org/officeDocument/2006/relationships/printerSettings" Target="../printerSettings/printerSettings229.bin"/><Relationship Id="rId4" Type="http://schemas.openxmlformats.org/officeDocument/2006/relationships/printerSettings" Target="../printerSettings/printerSettings228.bin"/></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233.bin"/><Relationship Id="rId2" Type="http://schemas.openxmlformats.org/officeDocument/2006/relationships/printerSettings" Target="../printerSettings/printerSettings232.bin"/><Relationship Id="rId1" Type="http://schemas.openxmlformats.org/officeDocument/2006/relationships/printerSettings" Target="../printerSettings/printerSettings231.bin"/><Relationship Id="rId6" Type="http://schemas.openxmlformats.org/officeDocument/2006/relationships/printerSettings" Target="../printerSettings/printerSettings236.bin"/><Relationship Id="rId5" Type="http://schemas.openxmlformats.org/officeDocument/2006/relationships/printerSettings" Target="../printerSettings/printerSettings235.bin"/><Relationship Id="rId4" Type="http://schemas.openxmlformats.org/officeDocument/2006/relationships/printerSettings" Target="../printerSettings/printerSettings234.bin"/></Relationships>
</file>

<file path=xl/worksheets/_rels/sheet85.xml.rels><?xml version="1.0" encoding="UTF-8" standalone="yes"?>
<Relationships xmlns="http://schemas.openxmlformats.org/package/2006/relationships"><Relationship Id="rId3" Type="http://schemas.openxmlformats.org/officeDocument/2006/relationships/printerSettings" Target="../printerSettings/printerSettings239.bin"/><Relationship Id="rId2" Type="http://schemas.openxmlformats.org/officeDocument/2006/relationships/printerSettings" Target="../printerSettings/printerSettings238.bin"/><Relationship Id="rId1" Type="http://schemas.openxmlformats.org/officeDocument/2006/relationships/printerSettings" Target="../printerSettings/printerSettings237.bin"/><Relationship Id="rId6" Type="http://schemas.openxmlformats.org/officeDocument/2006/relationships/printerSettings" Target="../printerSettings/printerSettings242.bin"/><Relationship Id="rId5" Type="http://schemas.openxmlformats.org/officeDocument/2006/relationships/printerSettings" Target="../printerSettings/printerSettings241.bin"/><Relationship Id="rId4" Type="http://schemas.openxmlformats.org/officeDocument/2006/relationships/printerSettings" Target="../printerSettings/printerSettings240.bin"/></Relationships>
</file>

<file path=xl/worksheets/_rels/sheet86.xml.rels><?xml version="1.0" encoding="UTF-8" standalone="yes"?>
<Relationships xmlns="http://schemas.openxmlformats.org/package/2006/relationships"><Relationship Id="rId3" Type="http://schemas.openxmlformats.org/officeDocument/2006/relationships/printerSettings" Target="../printerSettings/printerSettings245.bin"/><Relationship Id="rId2" Type="http://schemas.openxmlformats.org/officeDocument/2006/relationships/printerSettings" Target="../printerSettings/printerSettings244.bin"/><Relationship Id="rId1" Type="http://schemas.openxmlformats.org/officeDocument/2006/relationships/printerSettings" Target="../printerSettings/printerSettings243.bin"/><Relationship Id="rId6" Type="http://schemas.openxmlformats.org/officeDocument/2006/relationships/printerSettings" Target="../printerSettings/printerSettings248.bin"/><Relationship Id="rId5" Type="http://schemas.openxmlformats.org/officeDocument/2006/relationships/printerSettings" Target="../printerSettings/printerSettings247.bin"/><Relationship Id="rId4" Type="http://schemas.openxmlformats.org/officeDocument/2006/relationships/printerSettings" Target="../printerSettings/printerSettings246.bin"/></Relationships>
</file>

<file path=xl/worksheets/_rels/sheet87.xml.rels><?xml version="1.0" encoding="UTF-8" standalone="yes"?>
<Relationships xmlns="http://schemas.openxmlformats.org/package/2006/relationships"><Relationship Id="rId3" Type="http://schemas.openxmlformats.org/officeDocument/2006/relationships/printerSettings" Target="../printerSettings/printerSettings251.bin"/><Relationship Id="rId2" Type="http://schemas.openxmlformats.org/officeDocument/2006/relationships/printerSettings" Target="../printerSettings/printerSettings250.bin"/><Relationship Id="rId1" Type="http://schemas.openxmlformats.org/officeDocument/2006/relationships/printerSettings" Target="../printerSettings/printerSettings249.bin"/><Relationship Id="rId6" Type="http://schemas.openxmlformats.org/officeDocument/2006/relationships/printerSettings" Target="../printerSettings/printerSettings254.bin"/><Relationship Id="rId5" Type="http://schemas.openxmlformats.org/officeDocument/2006/relationships/printerSettings" Target="../printerSettings/printerSettings253.bin"/><Relationship Id="rId4" Type="http://schemas.openxmlformats.org/officeDocument/2006/relationships/printerSettings" Target="../printerSettings/printerSettings252.bin"/></Relationships>
</file>

<file path=xl/worksheets/_rels/sheet88.xml.rels><?xml version="1.0" encoding="UTF-8" standalone="yes"?>
<Relationships xmlns="http://schemas.openxmlformats.org/package/2006/relationships"><Relationship Id="rId3" Type="http://schemas.openxmlformats.org/officeDocument/2006/relationships/printerSettings" Target="../printerSettings/printerSettings257.bin"/><Relationship Id="rId2" Type="http://schemas.openxmlformats.org/officeDocument/2006/relationships/printerSettings" Target="../printerSettings/printerSettings256.bin"/><Relationship Id="rId1" Type="http://schemas.openxmlformats.org/officeDocument/2006/relationships/printerSettings" Target="../printerSettings/printerSettings255.bin"/><Relationship Id="rId6" Type="http://schemas.openxmlformats.org/officeDocument/2006/relationships/printerSettings" Target="../printerSettings/printerSettings260.bin"/><Relationship Id="rId5" Type="http://schemas.openxmlformats.org/officeDocument/2006/relationships/printerSettings" Target="../printerSettings/printerSettings259.bin"/><Relationship Id="rId4" Type="http://schemas.openxmlformats.org/officeDocument/2006/relationships/printerSettings" Target="../printerSettings/printerSettings258.bin"/></Relationships>
</file>

<file path=xl/worksheets/_rels/sheet89.xml.rels><?xml version="1.0" encoding="UTF-8" standalone="yes"?>
<Relationships xmlns="http://schemas.openxmlformats.org/package/2006/relationships"><Relationship Id="rId3" Type="http://schemas.openxmlformats.org/officeDocument/2006/relationships/printerSettings" Target="../printerSettings/printerSettings263.bin"/><Relationship Id="rId2" Type="http://schemas.openxmlformats.org/officeDocument/2006/relationships/printerSettings" Target="../printerSettings/printerSettings262.bin"/><Relationship Id="rId1" Type="http://schemas.openxmlformats.org/officeDocument/2006/relationships/printerSettings" Target="../printerSettings/printerSettings261.bin"/><Relationship Id="rId6" Type="http://schemas.openxmlformats.org/officeDocument/2006/relationships/printerSettings" Target="../printerSettings/printerSettings266.bin"/><Relationship Id="rId5" Type="http://schemas.openxmlformats.org/officeDocument/2006/relationships/printerSettings" Target="../printerSettings/printerSettings265.bin"/><Relationship Id="rId4" Type="http://schemas.openxmlformats.org/officeDocument/2006/relationships/printerSettings" Target="../printerSettings/printerSettings264.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52.bin"/><Relationship Id="rId3" Type="http://schemas.openxmlformats.org/officeDocument/2006/relationships/printerSettings" Target="../printerSettings/printerSettings49.bin"/><Relationship Id="rId7" Type="http://schemas.openxmlformats.org/officeDocument/2006/relationships/hyperlink" Target="consultantplus://offline/ref=985DFA738D42EACDD6D6E7A732A35EBB5EE457B75497FFC3D82F0102A3X1PFG" TargetMode="External"/><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6" Type="http://schemas.openxmlformats.org/officeDocument/2006/relationships/hyperlink" Target="consultantplus://offline/ref=985DFA738D42EACDD6D6E7A732A35EBB5EE556B5569FFFC3D82F0102A3X1PFG" TargetMode="External"/><Relationship Id="rId5" Type="http://schemas.openxmlformats.org/officeDocument/2006/relationships/printerSettings" Target="../printerSettings/printerSettings51.bin"/><Relationship Id="rId4" Type="http://schemas.openxmlformats.org/officeDocument/2006/relationships/printerSettings" Target="../printerSettings/printerSettings50.bin"/></Relationships>
</file>

<file path=xl/worksheets/_rels/sheet90.xml.rels><?xml version="1.0" encoding="UTF-8" standalone="yes"?>
<Relationships xmlns="http://schemas.openxmlformats.org/package/2006/relationships"><Relationship Id="rId3" Type="http://schemas.openxmlformats.org/officeDocument/2006/relationships/printerSettings" Target="../printerSettings/printerSettings269.bin"/><Relationship Id="rId2" Type="http://schemas.openxmlformats.org/officeDocument/2006/relationships/printerSettings" Target="../printerSettings/printerSettings268.bin"/><Relationship Id="rId1" Type="http://schemas.openxmlformats.org/officeDocument/2006/relationships/printerSettings" Target="../printerSettings/printerSettings267.bin"/><Relationship Id="rId6" Type="http://schemas.openxmlformats.org/officeDocument/2006/relationships/printerSettings" Target="../printerSettings/printerSettings272.bin"/><Relationship Id="rId5" Type="http://schemas.openxmlformats.org/officeDocument/2006/relationships/printerSettings" Target="../printerSettings/printerSettings271.bin"/><Relationship Id="rId4" Type="http://schemas.openxmlformats.org/officeDocument/2006/relationships/printerSettings" Target="../printerSettings/printerSettings270.bin"/></Relationships>
</file>

<file path=xl/worksheets/_rels/sheet91.xml.rels><?xml version="1.0" encoding="UTF-8" standalone="yes"?>
<Relationships xmlns="http://schemas.openxmlformats.org/package/2006/relationships"><Relationship Id="rId3" Type="http://schemas.openxmlformats.org/officeDocument/2006/relationships/printerSettings" Target="../printerSettings/printerSettings275.bin"/><Relationship Id="rId2" Type="http://schemas.openxmlformats.org/officeDocument/2006/relationships/printerSettings" Target="../printerSettings/printerSettings274.bin"/><Relationship Id="rId1" Type="http://schemas.openxmlformats.org/officeDocument/2006/relationships/printerSettings" Target="../printerSettings/printerSettings273.bin"/><Relationship Id="rId6" Type="http://schemas.openxmlformats.org/officeDocument/2006/relationships/printerSettings" Target="../printerSettings/printerSettings278.bin"/><Relationship Id="rId5" Type="http://schemas.openxmlformats.org/officeDocument/2006/relationships/printerSettings" Target="../printerSettings/printerSettings277.bin"/><Relationship Id="rId4" Type="http://schemas.openxmlformats.org/officeDocument/2006/relationships/printerSettings" Target="../printerSettings/printerSettings276.bin"/></Relationships>
</file>

<file path=xl/worksheets/_rels/sheet92.xml.rels><?xml version="1.0" encoding="UTF-8" standalone="yes"?>
<Relationships xmlns="http://schemas.openxmlformats.org/package/2006/relationships"><Relationship Id="rId3" Type="http://schemas.openxmlformats.org/officeDocument/2006/relationships/printerSettings" Target="../printerSettings/printerSettings281.bin"/><Relationship Id="rId2" Type="http://schemas.openxmlformats.org/officeDocument/2006/relationships/printerSettings" Target="../printerSettings/printerSettings280.bin"/><Relationship Id="rId1" Type="http://schemas.openxmlformats.org/officeDocument/2006/relationships/printerSettings" Target="../printerSettings/printerSettings279.bin"/><Relationship Id="rId6" Type="http://schemas.openxmlformats.org/officeDocument/2006/relationships/printerSettings" Target="../printerSettings/printerSettings284.bin"/><Relationship Id="rId5" Type="http://schemas.openxmlformats.org/officeDocument/2006/relationships/printerSettings" Target="../printerSettings/printerSettings283.bin"/><Relationship Id="rId4" Type="http://schemas.openxmlformats.org/officeDocument/2006/relationships/printerSettings" Target="../printerSettings/printerSettings282.bin"/></Relationships>
</file>

<file path=xl/worksheets/_rels/sheet93.xml.rels><?xml version="1.0" encoding="UTF-8" standalone="yes"?>
<Relationships xmlns="http://schemas.openxmlformats.org/package/2006/relationships"><Relationship Id="rId3" Type="http://schemas.openxmlformats.org/officeDocument/2006/relationships/printerSettings" Target="../printerSettings/printerSettings287.bin"/><Relationship Id="rId2" Type="http://schemas.openxmlformats.org/officeDocument/2006/relationships/printerSettings" Target="../printerSettings/printerSettings286.bin"/><Relationship Id="rId1" Type="http://schemas.openxmlformats.org/officeDocument/2006/relationships/printerSettings" Target="../printerSettings/printerSettings285.bin"/><Relationship Id="rId6" Type="http://schemas.openxmlformats.org/officeDocument/2006/relationships/printerSettings" Target="../printerSettings/printerSettings290.bin"/><Relationship Id="rId5" Type="http://schemas.openxmlformats.org/officeDocument/2006/relationships/printerSettings" Target="../printerSettings/printerSettings289.bin"/><Relationship Id="rId4" Type="http://schemas.openxmlformats.org/officeDocument/2006/relationships/printerSettings" Target="../printerSettings/printerSettings288.bin"/></Relationships>
</file>

<file path=xl/worksheets/_rels/sheet94.xml.rels><?xml version="1.0" encoding="UTF-8" standalone="yes"?>
<Relationships xmlns="http://schemas.openxmlformats.org/package/2006/relationships"><Relationship Id="rId3" Type="http://schemas.openxmlformats.org/officeDocument/2006/relationships/printerSettings" Target="../printerSettings/printerSettings293.bin"/><Relationship Id="rId2" Type="http://schemas.openxmlformats.org/officeDocument/2006/relationships/printerSettings" Target="../printerSettings/printerSettings292.bin"/><Relationship Id="rId1" Type="http://schemas.openxmlformats.org/officeDocument/2006/relationships/printerSettings" Target="../printerSettings/printerSettings291.bin"/><Relationship Id="rId6" Type="http://schemas.openxmlformats.org/officeDocument/2006/relationships/printerSettings" Target="../printerSettings/printerSettings296.bin"/><Relationship Id="rId5" Type="http://schemas.openxmlformats.org/officeDocument/2006/relationships/printerSettings" Target="../printerSettings/printerSettings295.bin"/><Relationship Id="rId4" Type="http://schemas.openxmlformats.org/officeDocument/2006/relationships/printerSettings" Target="../printerSettings/printerSettings294.bin"/></Relationships>
</file>

<file path=xl/worksheets/_rels/sheet95.xml.rels><?xml version="1.0" encoding="UTF-8" standalone="yes"?>
<Relationships xmlns="http://schemas.openxmlformats.org/package/2006/relationships"><Relationship Id="rId3" Type="http://schemas.openxmlformats.org/officeDocument/2006/relationships/printerSettings" Target="../printerSettings/printerSettings299.bin"/><Relationship Id="rId2" Type="http://schemas.openxmlformats.org/officeDocument/2006/relationships/printerSettings" Target="../printerSettings/printerSettings298.bin"/><Relationship Id="rId1" Type="http://schemas.openxmlformats.org/officeDocument/2006/relationships/printerSettings" Target="../printerSettings/printerSettings297.bin"/><Relationship Id="rId6" Type="http://schemas.openxmlformats.org/officeDocument/2006/relationships/printerSettings" Target="../printerSettings/printerSettings302.bin"/><Relationship Id="rId5" Type="http://schemas.openxmlformats.org/officeDocument/2006/relationships/printerSettings" Target="../printerSettings/printerSettings301.bin"/><Relationship Id="rId4" Type="http://schemas.openxmlformats.org/officeDocument/2006/relationships/printerSettings" Target="../printerSettings/printerSettings300.bin"/></Relationships>
</file>

<file path=xl/worksheets/_rels/sheet96.xml.rels><?xml version="1.0" encoding="UTF-8" standalone="yes"?>
<Relationships xmlns="http://schemas.openxmlformats.org/package/2006/relationships"><Relationship Id="rId3" Type="http://schemas.openxmlformats.org/officeDocument/2006/relationships/printerSettings" Target="../printerSettings/printerSettings305.bin"/><Relationship Id="rId2" Type="http://schemas.openxmlformats.org/officeDocument/2006/relationships/printerSettings" Target="../printerSettings/printerSettings304.bin"/><Relationship Id="rId1" Type="http://schemas.openxmlformats.org/officeDocument/2006/relationships/printerSettings" Target="../printerSettings/printerSettings303.bin"/><Relationship Id="rId6" Type="http://schemas.openxmlformats.org/officeDocument/2006/relationships/printerSettings" Target="../printerSettings/printerSettings308.bin"/><Relationship Id="rId5" Type="http://schemas.openxmlformats.org/officeDocument/2006/relationships/printerSettings" Target="../printerSettings/printerSettings307.bin"/><Relationship Id="rId4" Type="http://schemas.openxmlformats.org/officeDocument/2006/relationships/printerSettings" Target="../printerSettings/printerSettings306.bin"/></Relationships>
</file>

<file path=xl/worksheets/_rels/sheet97.xml.rels><?xml version="1.0" encoding="UTF-8" standalone="yes"?>
<Relationships xmlns="http://schemas.openxmlformats.org/package/2006/relationships"><Relationship Id="rId3" Type="http://schemas.openxmlformats.org/officeDocument/2006/relationships/printerSettings" Target="../printerSettings/printerSettings311.bin"/><Relationship Id="rId2" Type="http://schemas.openxmlformats.org/officeDocument/2006/relationships/printerSettings" Target="../printerSettings/printerSettings310.bin"/><Relationship Id="rId1" Type="http://schemas.openxmlformats.org/officeDocument/2006/relationships/printerSettings" Target="../printerSettings/printerSettings309.bin"/><Relationship Id="rId6" Type="http://schemas.openxmlformats.org/officeDocument/2006/relationships/printerSettings" Target="../printerSettings/printerSettings314.bin"/><Relationship Id="rId5" Type="http://schemas.openxmlformats.org/officeDocument/2006/relationships/printerSettings" Target="../printerSettings/printerSettings313.bin"/><Relationship Id="rId4" Type="http://schemas.openxmlformats.org/officeDocument/2006/relationships/printerSettings" Target="../printerSettings/printerSettings312.bin"/></Relationships>
</file>

<file path=xl/worksheets/_rels/sheet98.xml.rels><?xml version="1.0" encoding="UTF-8" standalone="yes"?>
<Relationships xmlns="http://schemas.openxmlformats.org/package/2006/relationships"><Relationship Id="rId3" Type="http://schemas.openxmlformats.org/officeDocument/2006/relationships/printerSettings" Target="../printerSettings/printerSettings317.bin"/><Relationship Id="rId2" Type="http://schemas.openxmlformats.org/officeDocument/2006/relationships/printerSettings" Target="../printerSettings/printerSettings316.bin"/><Relationship Id="rId1" Type="http://schemas.openxmlformats.org/officeDocument/2006/relationships/printerSettings" Target="../printerSettings/printerSettings315.bin"/><Relationship Id="rId4" Type="http://schemas.openxmlformats.org/officeDocument/2006/relationships/printerSettings" Target="../printerSettings/printerSettings318.bin"/></Relationships>
</file>

<file path=xl/worksheets/_rels/sheet99.xml.rels><?xml version="1.0" encoding="UTF-8" standalone="yes"?>
<Relationships xmlns="http://schemas.openxmlformats.org/package/2006/relationships"><Relationship Id="rId3" Type="http://schemas.openxmlformats.org/officeDocument/2006/relationships/printerSettings" Target="../printerSettings/printerSettings321.bin"/><Relationship Id="rId2" Type="http://schemas.openxmlformats.org/officeDocument/2006/relationships/printerSettings" Target="../printerSettings/printerSettings320.bin"/><Relationship Id="rId1" Type="http://schemas.openxmlformats.org/officeDocument/2006/relationships/printerSettings" Target="../printerSettings/printerSettings319.bin"/><Relationship Id="rId6" Type="http://schemas.openxmlformats.org/officeDocument/2006/relationships/printerSettings" Target="../printerSettings/printerSettings324.bin"/><Relationship Id="rId5" Type="http://schemas.openxmlformats.org/officeDocument/2006/relationships/printerSettings" Target="../printerSettings/printerSettings323.bin"/><Relationship Id="rId4" Type="http://schemas.openxmlformats.org/officeDocument/2006/relationships/printerSettings" Target="../printerSettings/printerSettings322.bin"/></Relationships>
</file>

<file path=xl/worksheets/sheet1.xml><?xml version="1.0" encoding="utf-8"?>
<worksheet xmlns="http://schemas.openxmlformats.org/spreadsheetml/2006/main" xmlns:r="http://schemas.openxmlformats.org/officeDocument/2006/relationships">
  <sheetPr codeName="Лист48"/>
  <dimension ref="A1:Q81"/>
  <sheetViews>
    <sheetView view="pageBreakPreview" topLeftCell="A4" zoomScale="60" zoomScaleNormal="71" workbookViewId="0">
      <selection activeCell="N21" sqref="N21"/>
    </sheetView>
  </sheetViews>
  <sheetFormatPr defaultRowHeight="15"/>
  <cols>
    <col min="1" max="1" width="5.140625" style="667" customWidth="1"/>
    <col min="2" max="2" width="8.42578125" style="667" customWidth="1"/>
    <col min="3" max="3" width="7.7109375" style="667" customWidth="1"/>
    <col min="4" max="4" width="10.85546875" style="667" customWidth="1"/>
    <col min="5" max="5" width="14" style="667" customWidth="1"/>
    <col min="6" max="6" width="21.5703125" style="667" customWidth="1"/>
    <col min="7" max="7" width="9.42578125" style="667" customWidth="1"/>
    <col min="8" max="9" width="8.42578125" style="667" customWidth="1"/>
    <col min="10" max="10" width="73.5703125" style="667" customWidth="1"/>
    <col min="11" max="11" width="20.5703125" style="667" customWidth="1"/>
    <col min="12" max="12" width="12.140625" style="667" customWidth="1"/>
    <col min="13" max="13" width="9.140625" style="667" hidden="1" customWidth="1"/>
    <col min="14" max="14" width="13.85546875" style="667" customWidth="1"/>
    <col min="15" max="16384" width="9.140625" style="667"/>
  </cols>
  <sheetData>
    <row r="1" spans="1:13" ht="19.5" customHeight="1">
      <c r="A1" s="606"/>
      <c r="B1" s="606"/>
      <c r="C1" s="606"/>
      <c r="D1" s="606"/>
      <c r="E1" s="606"/>
      <c r="F1" s="606"/>
      <c r="G1" s="606"/>
      <c r="H1" s="1456" t="s">
        <v>1036</v>
      </c>
      <c r="I1" s="1456"/>
      <c r="J1" s="1456"/>
      <c r="K1" s="1456"/>
      <c r="L1" s="805"/>
      <c r="M1" s="805"/>
    </row>
    <row r="2" spans="1:13" ht="31.5" customHeight="1">
      <c r="A2" s="606"/>
      <c r="B2" s="606"/>
      <c r="C2" s="606"/>
      <c r="D2" s="606"/>
      <c r="E2" s="606"/>
      <c r="F2" s="606"/>
      <c r="G2" s="606"/>
      <c r="H2" s="606"/>
      <c r="I2" s="606"/>
      <c r="J2" s="606"/>
      <c r="K2" s="606"/>
    </row>
    <row r="3" spans="1:13" ht="30" customHeight="1">
      <c r="A3" s="1460" t="s">
        <v>271</v>
      </c>
      <c r="B3" s="1460"/>
      <c r="C3" s="1460"/>
      <c r="D3" s="1460"/>
      <c r="E3" s="1460"/>
      <c r="F3" s="1460"/>
      <c r="G3" s="1460"/>
      <c r="H3" s="1460"/>
      <c r="I3" s="1460"/>
      <c r="J3" s="1460"/>
      <c r="K3" s="1460"/>
    </row>
    <row r="4" spans="1:13" ht="24.75" customHeight="1">
      <c r="A4" s="1460" t="s">
        <v>1587</v>
      </c>
      <c r="B4" s="1460"/>
      <c r="C4" s="1460"/>
      <c r="D4" s="1460"/>
      <c r="E4" s="1460"/>
      <c r="F4" s="1460"/>
      <c r="G4" s="1460"/>
      <c r="H4" s="1460"/>
      <c r="I4" s="1460"/>
      <c r="J4" s="1460"/>
      <c r="K4" s="1460"/>
    </row>
    <row r="5" spans="1:13" ht="30" customHeight="1">
      <c r="A5" s="661"/>
      <c r="B5" s="661"/>
      <c r="C5" s="661"/>
      <c r="D5" s="661"/>
      <c r="E5" s="661"/>
      <c r="F5" s="661"/>
      <c r="G5" s="661"/>
      <c r="H5" s="661"/>
      <c r="I5" s="661"/>
      <c r="J5" s="661"/>
      <c r="K5" s="661"/>
    </row>
    <row r="6" spans="1:13" ht="15" customHeight="1">
      <c r="A6" s="1455" t="s">
        <v>1136</v>
      </c>
      <c r="B6" s="1455"/>
      <c r="C6" s="1455"/>
      <c r="D6" s="1455"/>
      <c r="E6" s="1455"/>
      <c r="F6" s="1455"/>
      <c r="G6" s="1455"/>
      <c r="H6" s="1455"/>
      <c r="I6" s="1455"/>
      <c r="J6" s="794"/>
      <c r="K6" s="662"/>
    </row>
    <row r="7" spans="1:13" ht="27" customHeight="1">
      <c r="A7" s="668" t="s">
        <v>1588</v>
      </c>
      <c r="B7" s="662"/>
      <c r="C7" s="662"/>
      <c r="D7" s="668" t="s">
        <v>272</v>
      </c>
      <c r="E7" s="662"/>
      <c r="F7" s="662"/>
      <c r="G7" s="668" t="s">
        <v>294</v>
      </c>
      <c r="H7" s="662"/>
      <c r="I7" s="662"/>
      <c r="J7" s="662"/>
      <c r="K7" s="662"/>
    </row>
    <row r="8" spans="1:13" ht="6" customHeight="1">
      <c r="A8" s="606"/>
      <c r="B8" s="662"/>
      <c r="C8" s="662"/>
      <c r="D8" s="662"/>
      <c r="E8" s="662"/>
      <c r="F8" s="662"/>
      <c r="G8" s="662"/>
      <c r="H8" s="662"/>
      <c r="I8" s="662"/>
      <c r="J8" s="662"/>
      <c r="K8" s="662"/>
    </row>
    <row r="9" spans="1:13" ht="28.5" customHeight="1">
      <c r="A9" s="668" t="s">
        <v>1589</v>
      </c>
      <c r="B9" s="663"/>
      <c r="C9" s="663"/>
      <c r="D9" s="663"/>
      <c r="E9" s="663"/>
      <c r="F9" s="663"/>
      <c r="G9" s="663"/>
      <c r="H9" s="663"/>
      <c r="I9" s="663"/>
      <c r="J9" s="663"/>
      <c r="K9" s="663"/>
    </row>
    <row r="10" spans="1:13" ht="15.75" customHeight="1">
      <c r="A10" s="1452" t="s">
        <v>1267</v>
      </c>
      <c r="B10" s="1452" t="s">
        <v>1590</v>
      </c>
      <c r="C10" s="1452" t="s">
        <v>1359</v>
      </c>
      <c r="D10" s="1452" t="s">
        <v>1360</v>
      </c>
      <c r="E10" s="1452" t="s">
        <v>1361</v>
      </c>
      <c r="F10" s="1452" t="s">
        <v>1586</v>
      </c>
      <c r="G10" s="1452" t="s">
        <v>1362</v>
      </c>
      <c r="H10" s="1452" t="s">
        <v>189</v>
      </c>
      <c r="I10" s="1452" t="s">
        <v>1843</v>
      </c>
      <c r="J10" s="1452" t="s">
        <v>1363</v>
      </c>
      <c r="K10" s="1452" t="s">
        <v>1364</v>
      </c>
    </row>
    <row r="11" spans="1:13" ht="18" customHeight="1">
      <c r="A11" s="1453"/>
      <c r="B11" s="1453"/>
      <c r="C11" s="1453"/>
      <c r="D11" s="1453"/>
      <c r="E11" s="1453"/>
      <c r="F11" s="1453"/>
      <c r="G11" s="1453"/>
      <c r="H11" s="1453"/>
      <c r="I11" s="1453"/>
      <c r="J11" s="1453"/>
      <c r="K11" s="1453"/>
    </row>
    <row r="12" spans="1:13" ht="21.75" customHeight="1">
      <c r="A12" s="1454"/>
      <c r="B12" s="1454"/>
      <c r="C12" s="1454"/>
      <c r="D12" s="1454"/>
      <c r="E12" s="1454"/>
      <c r="F12" s="1454"/>
      <c r="G12" s="1454"/>
      <c r="H12" s="1454"/>
      <c r="I12" s="1454"/>
      <c r="J12" s="1454"/>
      <c r="K12" s="1454"/>
    </row>
    <row r="13" spans="1:13" ht="15.75">
      <c r="A13" s="306">
        <v>1</v>
      </c>
      <c r="B13" s="306">
        <v>2</v>
      </c>
      <c r="C13" s="306">
        <v>3</v>
      </c>
      <c r="D13" s="306">
        <v>4</v>
      </c>
      <c r="E13" s="306">
        <v>5</v>
      </c>
      <c r="F13" s="306" t="s">
        <v>1365</v>
      </c>
      <c r="G13" s="306" t="s">
        <v>1366</v>
      </c>
      <c r="H13" s="306" t="s">
        <v>1373</v>
      </c>
      <c r="I13" s="306" t="s">
        <v>1367</v>
      </c>
      <c r="J13" s="306" t="s">
        <v>1374</v>
      </c>
      <c r="K13" s="306" t="s">
        <v>1844</v>
      </c>
    </row>
    <row r="14" spans="1:13" s="622" customFormat="1" ht="18.75" customHeight="1">
      <c r="A14" s="617" t="s">
        <v>1137</v>
      </c>
      <c r="B14" s="617" t="s">
        <v>1272</v>
      </c>
      <c r="C14" s="617"/>
      <c r="D14" s="617"/>
      <c r="E14" s="617"/>
      <c r="F14" s="621"/>
      <c r="G14" s="617"/>
      <c r="H14" s="617"/>
      <c r="I14" s="617"/>
      <c r="J14" s="660" t="s">
        <v>1188</v>
      </c>
      <c r="K14" s="620">
        <f>K15</f>
        <v>0</v>
      </c>
      <c r="L14" s="622">
        <v>59838.16</v>
      </c>
    </row>
    <row r="15" spans="1:13" s="622" customFormat="1" ht="18.75" customHeight="1">
      <c r="A15" s="617" t="s">
        <v>1270</v>
      </c>
      <c r="B15" s="617" t="s">
        <v>1272</v>
      </c>
      <c r="C15" s="617" t="s">
        <v>1189</v>
      </c>
      <c r="D15" s="617"/>
      <c r="E15" s="617"/>
      <c r="F15" s="617"/>
      <c r="G15" s="617"/>
      <c r="H15" s="617"/>
      <c r="I15" s="617"/>
      <c r="J15" s="660" t="s">
        <v>1190</v>
      </c>
      <c r="K15" s="620">
        <f>K16</f>
        <v>0</v>
      </c>
    </row>
    <row r="16" spans="1:13" s="622" customFormat="1" ht="18.75" customHeight="1">
      <c r="A16" s="617" t="s">
        <v>1271</v>
      </c>
      <c r="B16" s="617" t="s">
        <v>1272</v>
      </c>
      <c r="C16" s="617" t="s">
        <v>1189</v>
      </c>
      <c r="D16" s="617" t="s">
        <v>1368</v>
      </c>
      <c r="E16" s="617"/>
      <c r="F16" s="617"/>
      <c r="G16" s="617"/>
      <c r="H16" s="617"/>
      <c r="I16" s="617"/>
      <c r="J16" s="660" t="s">
        <v>1191</v>
      </c>
      <c r="K16" s="620">
        <f>K17</f>
        <v>0</v>
      </c>
    </row>
    <row r="17" spans="1:14" s="622" customFormat="1" ht="74.25" customHeight="1">
      <c r="A17" s="617" t="s">
        <v>1272</v>
      </c>
      <c r="B17" s="617" t="s">
        <v>1272</v>
      </c>
      <c r="C17" s="617" t="s">
        <v>1189</v>
      </c>
      <c r="D17" s="617" t="s">
        <v>1368</v>
      </c>
      <c r="E17" s="617" t="s">
        <v>1369</v>
      </c>
      <c r="F17" s="617"/>
      <c r="G17" s="617"/>
      <c r="H17" s="617"/>
      <c r="I17" s="617"/>
      <c r="J17" s="660" t="s">
        <v>1192</v>
      </c>
      <c r="K17" s="620">
        <f>K18</f>
        <v>0</v>
      </c>
    </row>
    <row r="18" spans="1:14" s="622" customFormat="1" ht="51" customHeight="1">
      <c r="A18" s="617" t="s">
        <v>1829</v>
      </c>
      <c r="B18" s="617" t="s">
        <v>1272</v>
      </c>
      <c r="C18" s="617" t="s">
        <v>1189</v>
      </c>
      <c r="D18" s="617" t="s">
        <v>1368</v>
      </c>
      <c r="E18" s="617" t="s">
        <v>1369</v>
      </c>
      <c r="F18" s="617" t="s">
        <v>1371</v>
      </c>
      <c r="G18" s="617"/>
      <c r="H18" s="617"/>
      <c r="I18" s="617"/>
      <c r="J18" s="660" t="s">
        <v>1193</v>
      </c>
      <c r="K18" s="620">
        <f>K19+K21+K23+K25+K29</f>
        <v>0</v>
      </c>
    </row>
    <row r="19" spans="1:14" s="622" customFormat="1" ht="18.75" hidden="1" customHeight="1">
      <c r="A19" s="617" t="s">
        <v>1365</v>
      </c>
      <c r="B19" s="617" t="s">
        <v>1272</v>
      </c>
      <c r="C19" s="617" t="s">
        <v>1189</v>
      </c>
      <c r="D19" s="617" t="s">
        <v>1368</v>
      </c>
      <c r="E19" s="617" t="s">
        <v>1369</v>
      </c>
      <c r="F19" s="617" t="s">
        <v>1371</v>
      </c>
      <c r="G19" s="617" t="s">
        <v>1194</v>
      </c>
      <c r="H19" s="617"/>
      <c r="I19" s="617"/>
      <c r="J19" s="660" t="s">
        <v>1195</v>
      </c>
      <c r="K19" s="620">
        <f>SUM(K20:K20)</f>
        <v>0</v>
      </c>
    </row>
    <row r="20" spans="1:14" s="622" customFormat="1" ht="18.75" hidden="1" customHeight="1">
      <c r="A20" s="617" t="s">
        <v>1366</v>
      </c>
      <c r="B20" s="617" t="s">
        <v>1272</v>
      </c>
      <c r="C20" s="617" t="s">
        <v>1189</v>
      </c>
      <c r="D20" s="617" t="s">
        <v>1368</v>
      </c>
      <c r="E20" s="617" t="s">
        <v>1369</v>
      </c>
      <c r="F20" s="617" t="s">
        <v>1371</v>
      </c>
      <c r="G20" s="617" t="s">
        <v>1194</v>
      </c>
      <c r="H20" s="617" t="s">
        <v>1196</v>
      </c>
      <c r="I20" s="617" t="s">
        <v>1142</v>
      </c>
      <c r="J20" s="660" t="s">
        <v>1197</v>
      </c>
      <c r="K20" s="620"/>
    </row>
    <row r="21" spans="1:14" s="622" customFormat="1" ht="37.5" customHeight="1">
      <c r="A21" s="617" t="s">
        <v>1365</v>
      </c>
      <c r="B21" s="617" t="s">
        <v>1272</v>
      </c>
      <c r="C21" s="617" t="s">
        <v>1189</v>
      </c>
      <c r="D21" s="617" t="s">
        <v>1368</v>
      </c>
      <c r="E21" s="617" t="s">
        <v>1369</v>
      </c>
      <c r="F21" s="617" t="s">
        <v>1371</v>
      </c>
      <c r="G21" s="617" t="s">
        <v>1198</v>
      </c>
      <c r="H21" s="617"/>
      <c r="I21" s="617"/>
      <c r="J21" s="660" t="s">
        <v>1199</v>
      </c>
      <c r="K21" s="620">
        <f>SUM(K22:K22)</f>
        <v>0</v>
      </c>
    </row>
    <row r="22" spans="1:14" s="622" customFormat="1" ht="18.75" customHeight="1">
      <c r="A22" s="617" t="s">
        <v>1366</v>
      </c>
      <c r="B22" s="617" t="s">
        <v>1272</v>
      </c>
      <c r="C22" s="617" t="s">
        <v>1189</v>
      </c>
      <c r="D22" s="617" t="s">
        <v>1368</v>
      </c>
      <c r="E22" s="617" t="s">
        <v>1369</v>
      </c>
      <c r="F22" s="617" t="s">
        <v>1371</v>
      </c>
      <c r="G22" s="617" t="s">
        <v>1198</v>
      </c>
      <c r="H22" s="617" t="s">
        <v>1200</v>
      </c>
      <c r="I22" s="617" t="s">
        <v>1142</v>
      </c>
      <c r="J22" s="660" t="s">
        <v>1201</v>
      </c>
      <c r="K22" s="620"/>
      <c r="N22" s="806"/>
    </row>
    <row r="23" spans="1:14" s="622" customFormat="1" ht="18.75" hidden="1" customHeight="1">
      <c r="A23" s="617" t="s">
        <v>1373</v>
      </c>
      <c r="B23" s="617" t="s">
        <v>1272</v>
      </c>
      <c r="C23" s="617" t="s">
        <v>1189</v>
      </c>
      <c r="D23" s="617" t="s">
        <v>1368</v>
      </c>
      <c r="E23" s="617" t="s">
        <v>1369</v>
      </c>
      <c r="F23" s="617" t="s">
        <v>1371</v>
      </c>
      <c r="G23" s="617" t="s">
        <v>1202</v>
      </c>
      <c r="H23" s="617"/>
      <c r="I23" s="617"/>
      <c r="J23" s="660" t="s">
        <v>1203</v>
      </c>
      <c r="K23" s="620">
        <f>SUM(K24:K24)</f>
        <v>0</v>
      </c>
    </row>
    <row r="24" spans="1:14" s="622" customFormat="1" ht="18.75" hidden="1" customHeight="1">
      <c r="A24" s="617" t="s">
        <v>1367</v>
      </c>
      <c r="B24" s="617" t="s">
        <v>1272</v>
      </c>
      <c r="C24" s="617" t="s">
        <v>1189</v>
      </c>
      <c r="D24" s="617" t="s">
        <v>1368</v>
      </c>
      <c r="E24" s="617" t="s">
        <v>1369</v>
      </c>
      <c r="F24" s="617" t="s">
        <v>1371</v>
      </c>
      <c r="G24" s="617" t="s">
        <v>1202</v>
      </c>
      <c r="H24" s="617" t="s">
        <v>1204</v>
      </c>
      <c r="I24" s="617" t="s">
        <v>1142</v>
      </c>
      <c r="J24" s="660" t="s">
        <v>1205</v>
      </c>
      <c r="K24" s="620"/>
      <c r="N24" s="806">
        <f>-2340+'[2]212 уход'!F15</f>
        <v>-889.10000000000014</v>
      </c>
    </row>
    <row r="25" spans="1:14" s="622" customFormat="1" ht="39" customHeight="1">
      <c r="A25" s="617" t="s">
        <v>1373</v>
      </c>
      <c r="B25" s="617" t="s">
        <v>1272</v>
      </c>
      <c r="C25" s="617" t="s">
        <v>1189</v>
      </c>
      <c r="D25" s="617" t="s">
        <v>1368</v>
      </c>
      <c r="E25" s="617" t="s">
        <v>1369</v>
      </c>
      <c r="F25" s="617" t="s">
        <v>1371</v>
      </c>
      <c r="G25" s="617" t="s">
        <v>1372</v>
      </c>
      <c r="H25" s="617"/>
      <c r="I25" s="617"/>
      <c r="J25" s="660" t="s">
        <v>155</v>
      </c>
      <c r="K25" s="620">
        <f>SUM(K26:K28)</f>
        <v>0</v>
      </c>
    </row>
    <row r="26" spans="1:14" s="622" customFormat="1" ht="18.75" customHeight="1">
      <c r="A26" s="617" t="s">
        <v>1367</v>
      </c>
      <c r="B26" s="617" t="s">
        <v>1272</v>
      </c>
      <c r="C26" s="617" t="s">
        <v>1189</v>
      </c>
      <c r="D26" s="617" t="s">
        <v>1368</v>
      </c>
      <c r="E26" s="617" t="s">
        <v>1369</v>
      </c>
      <c r="F26" s="617" t="s">
        <v>1371</v>
      </c>
      <c r="G26" s="617" t="s">
        <v>1372</v>
      </c>
      <c r="H26" s="617" t="s">
        <v>1223</v>
      </c>
      <c r="I26" s="617" t="s">
        <v>1142</v>
      </c>
      <c r="J26" s="660" t="s">
        <v>11</v>
      </c>
      <c r="K26" s="620"/>
      <c r="N26" s="807"/>
    </row>
    <row r="27" spans="1:14" s="622" customFormat="1" ht="18.75" hidden="1" customHeight="1">
      <c r="A27" s="617" t="s">
        <v>1844</v>
      </c>
      <c r="B27" s="617" t="s">
        <v>1272</v>
      </c>
      <c r="C27" s="617" t="s">
        <v>1189</v>
      </c>
      <c r="D27" s="617" t="s">
        <v>1368</v>
      </c>
      <c r="E27" s="617" t="s">
        <v>1369</v>
      </c>
      <c r="F27" s="617" t="s">
        <v>1371</v>
      </c>
      <c r="G27" s="617" t="s">
        <v>1372</v>
      </c>
      <c r="H27" s="617" t="s">
        <v>1206</v>
      </c>
      <c r="I27" s="617" t="s">
        <v>1142</v>
      </c>
      <c r="J27" s="660" t="s">
        <v>12</v>
      </c>
      <c r="K27" s="620"/>
      <c r="N27" s="807"/>
    </row>
    <row r="28" spans="1:14" s="622" customFormat="1" ht="18.75" hidden="1" customHeight="1">
      <c r="A28" s="617" t="s">
        <v>1207</v>
      </c>
      <c r="B28" s="617" t="s">
        <v>1272</v>
      </c>
      <c r="C28" s="617" t="s">
        <v>1189</v>
      </c>
      <c r="D28" s="617" t="s">
        <v>1368</v>
      </c>
      <c r="E28" s="617" t="s">
        <v>1369</v>
      </c>
      <c r="F28" s="617" t="s">
        <v>1371</v>
      </c>
      <c r="G28" s="617" t="s">
        <v>1372</v>
      </c>
      <c r="H28" s="617" t="s">
        <v>1141</v>
      </c>
      <c r="I28" s="617" t="s">
        <v>1142</v>
      </c>
      <c r="J28" s="660" t="s">
        <v>15</v>
      </c>
      <c r="K28" s="620"/>
      <c r="N28" s="806"/>
    </row>
    <row r="29" spans="1:14" s="622" customFormat="1" ht="20.25" hidden="1" customHeight="1">
      <c r="A29" s="617" t="s">
        <v>1207</v>
      </c>
      <c r="B29" s="617" t="s">
        <v>1272</v>
      </c>
      <c r="C29" s="617" t="s">
        <v>1189</v>
      </c>
      <c r="D29" s="617" t="s">
        <v>1368</v>
      </c>
      <c r="E29" s="617" t="s">
        <v>1369</v>
      </c>
      <c r="F29" s="617" t="s">
        <v>1371</v>
      </c>
      <c r="G29" s="617" t="s">
        <v>234</v>
      </c>
      <c r="H29" s="617"/>
      <c r="I29" s="617"/>
      <c r="J29" s="660" t="s">
        <v>236</v>
      </c>
      <c r="K29" s="620">
        <f>SUM(K30:K30)</f>
        <v>0</v>
      </c>
    </row>
    <row r="30" spans="1:14" s="622" customFormat="1" ht="18.75" hidden="1" customHeight="1">
      <c r="A30" s="617" t="s">
        <v>1208</v>
      </c>
      <c r="B30" s="617" t="s">
        <v>1272</v>
      </c>
      <c r="C30" s="617" t="s">
        <v>1189</v>
      </c>
      <c r="D30" s="617" t="s">
        <v>1368</v>
      </c>
      <c r="E30" s="617" t="s">
        <v>1369</v>
      </c>
      <c r="F30" s="617" t="s">
        <v>1371</v>
      </c>
      <c r="G30" s="617" t="s">
        <v>234</v>
      </c>
      <c r="H30" s="617" t="s">
        <v>235</v>
      </c>
      <c r="I30" s="617" t="s">
        <v>1142</v>
      </c>
      <c r="J30" s="660" t="s">
        <v>13</v>
      </c>
      <c r="K30" s="620"/>
      <c r="N30" s="807"/>
    </row>
    <row r="31" spans="1:14" s="622" customFormat="1" ht="18.75" hidden="1" customHeight="1">
      <c r="A31" s="617" t="s">
        <v>1208</v>
      </c>
      <c r="B31" s="617" t="s">
        <v>1829</v>
      </c>
      <c r="C31" s="617"/>
      <c r="D31" s="617"/>
      <c r="E31" s="617"/>
      <c r="F31" s="621"/>
      <c r="G31" s="617"/>
      <c r="H31" s="617"/>
      <c r="I31" s="617"/>
      <c r="J31" s="660" t="s">
        <v>1209</v>
      </c>
      <c r="K31" s="620">
        <f>K32</f>
        <v>0</v>
      </c>
    </row>
    <row r="32" spans="1:14" s="622" customFormat="1" ht="18.75" hidden="1" customHeight="1">
      <c r="A32" s="617" t="s">
        <v>1210</v>
      </c>
      <c r="B32" s="617" t="s">
        <v>1829</v>
      </c>
      <c r="C32" s="617" t="s">
        <v>1189</v>
      </c>
      <c r="D32" s="617"/>
      <c r="E32" s="617"/>
      <c r="F32" s="617"/>
      <c r="G32" s="617"/>
      <c r="H32" s="617"/>
      <c r="I32" s="617"/>
      <c r="J32" s="660" t="s">
        <v>1190</v>
      </c>
      <c r="K32" s="620">
        <f>K33</f>
        <v>0</v>
      </c>
    </row>
    <row r="33" spans="1:11" s="622" customFormat="1" ht="18.75" hidden="1" customHeight="1">
      <c r="A33" s="617" t="s">
        <v>1211</v>
      </c>
      <c r="B33" s="617" t="s">
        <v>1829</v>
      </c>
      <c r="C33" s="617" t="s">
        <v>1189</v>
      </c>
      <c r="D33" s="617" t="s">
        <v>1368</v>
      </c>
      <c r="E33" s="617"/>
      <c r="F33" s="617"/>
      <c r="G33" s="617"/>
      <c r="H33" s="617"/>
      <c r="I33" s="617"/>
      <c r="J33" s="660" t="s">
        <v>1191</v>
      </c>
      <c r="K33" s="620">
        <f>K34</f>
        <v>0</v>
      </c>
    </row>
    <row r="34" spans="1:11" s="622" customFormat="1" ht="18.75" hidden="1" customHeight="1">
      <c r="A34" s="617" t="s">
        <v>1272</v>
      </c>
      <c r="B34" s="617" t="s">
        <v>1829</v>
      </c>
      <c r="C34" s="617" t="s">
        <v>1189</v>
      </c>
      <c r="D34" s="617" t="s">
        <v>1368</v>
      </c>
      <c r="E34" s="617" t="s">
        <v>1369</v>
      </c>
      <c r="F34" s="617"/>
      <c r="G34" s="617"/>
      <c r="H34" s="617"/>
      <c r="I34" s="617"/>
      <c r="J34" s="660" t="s">
        <v>1192</v>
      </c>
      <c r="K34" s="620">
        <f>K35+K39</f>
        <v>0</v>
      </c>
    </row>
    <row r="35" spans="1:11" s="622" customFormat="1" ht="18.75" hidden="1" customHeight="1">
      <c r="A35" s="617" t="s">
        <v>1829</v>
      </c>
      <c r="B35" s="617" t="s">
        <v>1829</v>
      </c>
      <c r="C35" s="617" t="s">
        <v>1189</v>
      </c>
      <c r="D35" s="617" t="s">
        <v>1368</v>
      </c>
      <c r="E35" s="617" t="s">
        <v>1369</v>
      </c>
      <c r="F35" s="617" t="s">
        <v>1212</v>
      </c>
      <c r="G35" s="617"/>
      <c r="H35" s="617"/>
      <c r="I35" s="617"/>
      <c r="J35" s="660" t="s">
        <v>1213</v>
      </c>
      <c r="K35" s="620">
        <f>K36</f>
        <v>0</v>
      </c>
    </row>
    <row r="36" spans="1:11" s="622" customFormat="1" ht="18.75" hidden="1" customHeight="1">
      <c r="A36" s="617" t="s">
        <v>1365</v>
      </c>
      <c r="B36" s="617" t="s">
        <v>1829</v>
      </c>
      <c r="C36" s="617" t="s">
        <v>1189</v>
      </c>
      <c r="D36" s="617" t="s">
        <v>1368</v>
      </c>
      <c r="E36" s="617" t="s">
        <v>1369</v>
      </c>
      <c r="F36" s="617" t="s">
        <v>1212</v>
      </c>
      <c r="G36" s="617" t="s">
        <v>1372</v>
      </c>
      <c r="H36" s="617"/>
      <c r="I36" s="617"/>
      <c r="J36" s="660" t="s">
        <v>155</v>
      </c>
      <c r="K36" s="620">
        <f>SUM(K37:K38)</f>
        <v>0</v>
      </c>
    </row>
    <row r="37" spans="1:11" s="622" customFormat="1" ht="18.75" hidden="1" customHeight="1">
      <c r="A37" s="617" t="s">
        <v>1366</v>
      </c>
      <c r="B37" s="617" t="s">
        <v>1829</v>
      </c>
      <c r="C37" s="617" t="s">
        <v>1189</v>
      </c>
      <c r="D37" s="617" t="s">
        <v>1368</v>
      </c>
      <c r="E37" s="617" t="s">
        <v>1369</v>
      </c>
      <c r="F37" s="617" t="s">
        <v>1212</v>
      </c>
      <c r="G37" s="617" t="s">
        <v>1372</v>
      </c>
      <c r="H37" s="617" t="s">
        <v>1206</v>
      </c>
      <c r="I37" s="617" t="s">
        <v>1142</v>
      </c>
      <c r="J37" s="660" t="s">
        <v>12</v>
      </c>
      <c r="K37" s="620"/>
    </row>
    <row r="38" spans="1:11" s="622" customFormat="1" ht="18.75" hidden="1" customHeight="1">
      <c r="A38" s="617" t="s">
        <v>1366</v>
      </c>
      <c r="B38" s="617" t="s">
        <v>1829</v>
      </c>
      <c r="C38" s="617" t="s">
        <v>1189</v>
      </c>
      <c r="D38" s="617" t="s">
        <v>1368</v>
      </c>
      <c r="E38" s="617" t="s">
        <v>1369</v>
      </c>
      <c r="F38" s="617" t="s">
        <v>1212</v>
      </c>
      <c r="G38" s="617" t="s">
        <v>1372</v>
      </c>
      <c r="H38" s="617" t="s">
        <v>1214</v>
      </c>
      <c r="I38" s="617" t="s">
        <v>1142</v>
      </c>
      <c r="J38" s="660" t="s">
        <v>14</v>
      </c>
      <c r="K38" s="620"/>
    </row>
    <row r="39" spans="1:11" s="622" customFormat="1" ht="18.75" hidden="1" customHeight="1">
      <c r="A39" s="617" t="s">
        <v>1373</v>
      </c>
      <c r="B39" s="617" t="s">
        <v>1829</v>
      </c>
      <c r="C39" s="617" t="s">
        <v>1189</v>
      </c>
      <c r="D39" s="617" t="s">
        <v>1368</v>
      </c>
      <c r="E39" s="617" t="s">
        <v>1369</v>
      </c>
      <c r="F39" s="617" t="s">
        <v>1215</v>
      </c>
      <c r="G39" s="617"/>
      <c r="H39" s="617"/>
      <c r="I39" s="617"/>
      <c r="J39" s="660" t="s">
        <v>1213</v>
      </c>
      <c r="K39" s="620">
        <f>K40</f>
        <v>0</v>
      </c>
    </row>
    <row r="40" spans="1:11" s="622" customFormat="1" ht="18.75" hidden="1" customHeight="1">
      <c r="A40" s="617" t="s">
        <v>1367</v>
      </c>
      <c r="B40" s="617" t="s">
        <v>1829</v>
      </c>
      <c r="C40" s="617" t="s">
        <v>1189</v>
      </c>
      <c r="D40" s="617" t="s">
        <v>1368</v>
      </c>
      <c r="E40" s="617" t="s">
        <v>1369</v>
      </c>
      <c r="F40" s="617" t="s">
        <v>1215</v>
      </c>
      <c r="G40" s="617" t="s">
        <v>1372</v>
      </c>
      <c r="H40" s="617"/>
      <c r="I40" s="617"/>
      <c r="J40" s="660" t="s">
        <v>155</v>
      </c>
      <c r="K40" s="620">
        <f>SUM(K41:K42)</f>
        <v>0</v>
      </c>
    </row>
    <row r="41" spans="1:11" s="622" customFormat="1" ht="18.75" hidden="1" customHeight="1">
      <c r="A41" s="617" t="s">
        <v>1374</v>
      </c>
      <c r="B41" s="617" t="s">
        <v>1829</v>
      </c>
      <c r="C41" s="617" t="s">
        <v>1189</v>
      </c>
      <c r="D41" s="617" t="s">
        <v>1368</v>
      </c>
      <c r="E41" s="617" t="s">
        <v>1369</v>
      </c>
      <c r="F41" s="617" t="s">
        <v>1215</v>
      </c>
      <c r="G41" s="617" t="s">
        <v>1372</v>
      </c>
      <c r="H41" s="617" t="s">
        <v>1206</v>
      </c>
      <c r="I41" s="617" t="s">
        <v>1142</v>
      </c>
      <c r="J41" s="660" t="s">
        <v>12</v>
      </c>
      <c r="K41" s="620"/>
    </row>
    <row r="42" spans="1:11" s="622" customFormat="1" ht="18.75" hidden="1" customHeight="1">
      <c r="A42" s="617" t="s">
        <v>1207</v>
      </c>
      <c r="B42" s="617" t="s">
        <v>1829</v>
      </c>
      <c r="C42" s="617" t="s">
        <v>1189</v>
      </c>
      <c r="D42" s="617" t="s">
        <v>1368</v>
      </c>
      <c r="E42" s="617" t="s">
        <v>1369</v>
      </c>
      <c r="F42" s="617" t="s">
        <v>1215</v>
      </c>
      <c r="G42" s="617" t="s">
        <v>1372</v>
      </c>
      <c r="H42" s="617" t="s">
        <v>1214</v>
      </c>
      <c r="I42" s="617" t="s">
        <v>1142</v>
      </c>
      <c r="J42" s="660" t="s">
        <v>14</v>
      </c>
      <c r="K42" s="620"/>
    </row>
    <row r="43" spans="1:11" s="622" customFormat="1" ht="18.75" hidden="1" customHeight="1">
      <c r="A43" s="617" t="s">
        <v>1216</v>
      </c>
      <c r="B43" s="617" t="s">
        <v>1829</v>
      </c>
      <c r="C43" s="617" t="s">
        <v>1189</v>
      </c>
      <c r="D43" s="617" t="s">
        <v>1368</v>
      </c>
      <c r="E43" s="617" t="s">
        <v>1217</v>
      </c>
      <c r="F43" s="617"/>
      <c r="G43" s="617"/>
      <c r="H43" s="617"/>
      <c r="I43" s="617"/>
      <c r="J43" s="660" t="s">
        <v>1218</v>
      </c>
      <c r="K43" s="620">
        <f>K44+K50+K56</f>
        <v>0</v>
      </c>
    </row>
    <row r="44" spans="1:11" s="622" customFormat="1" ht="18.75" hidden="1" customHeight="1">
      <c r="A44" s="617" t="s">
        <v>1219</v>
      </c>
      <c r="B44" s="617" t="s">
        <v>1829</v>
      </c>
      <c r="C44" s="617" t="s">
        <v>1189</v>
      </c>
      <c r="D44" s="617" t="s">
        <v>1368</v>
      </c>
      <c r="E44" s="617" t="s">
        <v>1217</v>
      </c>
      <c r="F44" s="617" t="s">
        <v>1220</v>
      </c>
      <c r="G44" s="617"/>
      <c r="H44" s="617"/>
      <c r="I44" s="617"/>
      <c r="J44" s="660" t="s">
        <v>1213</v>
      </c>
      <c r="K44" s="620">
        <f>K45</f>
        <v>0</v>
      </c>
    </row>
    <row r="45" spans="1:11" s="622" customFormat="1" ht="18.75" hidden="1" customHeight="1">
      <c r="A45" s="617" t="s">
        <v>1221</v>
      </c>
      <c r="B45" s="617" t="s">
        <v>1829</v>
      </c>
      <c r="C45" s="617" t="s">
        <v>1189</v>
      </c>
      <c r="D45" s="617" t="s">
        <v>1368</v>
      </c>
      <c r="E45" s="617" t="s">
        <v>1217</v>
      </c>
      <c r="F45" s="617" t="s">
        <v>1220</v>
      </c>
      <c r="G45" s="617" t="s">
        <v>1372</v>
      </c>
      <c r="H45" s="617"/>
      <c r="I45" s="617"/>
      <c r="J45" s="660" t="s">
        <v>155</v>
      </c>
      <c r="K45" s="620">
        <f>SUM(K46:K49)</f>
        <v>0</v>
      </c>
    </row>
    <row r="46" spans="1:11" s="622" customFormat="1" ht="18.75" hidden="1" customHeight="1">
      <c r="A46" s="617" t="s">
        <v>1222</v>
      </c>
      <c r="B46" s="617" t="s">
        <v>1829</v>
      </c>
      <c r="C46" s="617" t="s">
        <v>1189</v>
      </c>
      <c r="D46" s="617" t="s">
        <v>1368</v>
      </c>
      <c r="E46" s="617" t="s">
        <v>1217</v>
      </c>
      <c r="F46" s="617" t="s">
        <v>1220</v>
      </c>
      <c r="G46" s="617" t="s">
        <v>1372</v>
      </c>
      <c r="H46" s="617" t="s">
        <v>1223</v>
      </c>
      <c r="I46" s="617" t="s">
        <v>1142</v>
      </c>
      <c r="J46" s="660" t="s">
        <v>11</v>
      </c>
      <c r="K46" s="620"/>
    </row>
    <row r="47" spans="1:11" s="622" customFormat="1" ht="18.75" hidden="1" customHeight="1">
      <c r="A47" s="617" t="s">
        <v>1224</v>
      </c>
      <c r="B47" s="617" t="s">
        <v>1829</v>
      </c>
      <c r="C47" s="617" t="s">
        <v>1189</v>
      </c>
      <c r="D47" s="617" t="s">
        <v>1368</v>
      </c>
      <c r="E47" s="617" t="s">
        <v>1217</v>
      </c>
      <c r="F47" s="617" t="s">
        <v>1220</v>
      </c>
      <c r="G47" s="617" t="s">
        <v>1372</v>
      </c>
      <c r="H47" s="617" t="s">
        <v>1206</v>
      </c>
      <c r="I47" s="617" t="s">
        <v>1142</v>
      </c>
      <c r="J47" s="660" t="s">
        <v>12</v>
      </c>
      <c r="K47" s="620"/>
    </row>
    <row r="48" spans="1:11" s="622" customFormat="1" ht="18.75" hidden="1" customHeight="1">
      <c r="A48" s="617" t="s">
        <v>1225</v>
      </c>
      <c r="B48" s="617" t="s">
        <v>1829</v>
      </c>
      <c r="C48" s="617" t="s">
        <v>1189</v>
      </c>
      <c r="D48" s="617" t="s">
        <v>1368</v>
      </c>
      <c r="E48" s="617" t="s">
        <v>1217</v>
      </c>
      <c r="F48" s="617" t="s">
        <v>1220</v>
      </c>
      <c r="G48" s="617" t="s">
        <v>1372</v>
      </c>
      <c r="H48" s="617" t="s">
        <v>1214</v>
      </c>
      <c r="I48" s="617" t="s">
        <v>1142</v>
      </c>
      <c r="J48" s="660" t="s">
        <v>14</v>
      </c>
      <c r="K48" s="620"/>
    </row>
    <row r="49" spans="1:11" s="622" customFormat="1" ht="18.75" hidden="1" customHeight="1">
      <c r="A49" s="617" t="s">
        <v>1226</v>
      </c>
      <c r="B49" s="617" t="s">
        <v>1829</v>
      </c>
      <c r="C49" s="617" t="s">
        <v>1189</v>
      </c>
      <c r="D49" s="617" t="s">
        <v>1368</v>
      </c>
      <c r="E49" s="617" t="s">
        <v>1217</v>
      </c>
      <c r="F49" s="617" t="s">
        <v>1220</v>
      </c>
      <c r="G49" s="617" t="s">
        <v>1372</v>
      </c>
      <c r="H49" s="617" t="s">
        <v>1141</v>
      </c>
      <c r="I49" s="617" t="s">
        <v>1142</v>
      </c>
      <c r="J49" s="660" t="s">
        <v>15</v>
      </c>
      <c r="K49" s="620"/>
    </row>
    <row r="50" spans="1:11" s="622" customFormat="1" ht="18.75" hidden="1" customHeight="1">
      <c r="A50" s="617" t="s">
        <v>1227</v>
      </c>
      <c r="B50" s="617" t="s">
        <v>1829</v>
      </c>
      <c r="C50" s="617" t="s">
        <v>1189</v>
      </c>
      <c r="D50" s="617" t="s">
        <v>1368</v>
      </c>
      <c r="E50" s="617" t="s">
        <v>1217</v>
      </c>
      <c r="F50" s="617" t="s">
        <v>1228</v>
      </c>
      <c r="G50" s="617"/>
      <c r="H50" s="617"/>
      <c r="I50" s="617"/>
      <c r="J50" s="660" t="s">
        <v>1213</v>
      </c>
      <c r="K50" s="620">
        <f>K51</f>
        <v>0</v>
      </c>
    </row>
    <row r="51" spans="1:11" s="622" customFormat="1" ht="18.75" hidden="1" customHeight="1">
      <c r="A51" s="617" t="s">
        <v>1229</v>
      </c>
      <c r="B51" s="617" t="s">
        <v>1829</v>
      </c>
      <c r="C51" s="617" t="s">
        <v>1189</v>
      </c>
      <c r="D51" s="617" t="s">
        <v>1368</v>
      </c>
      <c r="E51" s="617" t="s">
        <v>1217</v>
      </c>
      <c r="F51" s="617" t="s">
        <v>1228</v>
      </c>
      <c r="G51" s="617" t="s">
        <v>1230</v>
      </c>
      <c r="H51" s="617"/>
      <c r="I51" s="617"/>
      <c r="J51" s="660" t="s">
        <v>1231</v>
      </c>
      <c r="K51" s="620">
        <f>SUM(K52:K55)</f>
        <v>0</v>
      </c>
    </row>
    <row r="52" spans="1:11" s="622" customFormat="1" ht="18.75" hidden="1" customHeight="1">
      <c r="A52" s="617" t="s">
        <v>1232</v>
      </c>
      <c r="B52" s="617" t="s">
        <v>1829</v>
      </c>
      <c r="C52" s="617" t="s">
        <v>1189</v>
      </c>
      <c r="D52" s="617" t="s">
        <v>1368</v>
      </c>
      <c r="E52" s="617" t="s">
        <v>1217</v>
      </c>
      <c r="F52" s="617" t="s">
        <v>1228</v>
      </c>
      <c r="G52" s="617" t="s">
        <v>1230</v>
      </c>
      <c r="H52" s="617" t="s">
        <v>1223</v>
      </c>
      <c r="I52" s="617" t="s">
        <v>1142</v>
      </c>
      <c r="J52" s="660" t="s">
        <v>11</v>
      </c>
      <c r="K52" s="620"/>
    </row>
    <row r="53" spans="1:11" s="622" customFormat="1" ht="18.75" hidden="1" customHeight="1">
      <c r="A53" s="617" t="s">
        <v>1233</v>
      </c>
      <c r="B53" s="617" t="s">
        <v>1829</v>
      </c>
      <c r="C53" s="617" t="s">
        <v>1189</v>
      </c>
      <c r="D53" s="617" t="s">
        <v>1368</v>
      </c>
      <c r="E53" s="617" t="s">
        <v>1217</v>
      </c>
      <c r="F53" s="617" t="s">
        <v>1228</v>
      </c>
      <c r="G53" s="617" t="s">
        <v>1230</v>
      </c>
      <c r="H53" s="617" t="s">
        <v>1206</v>
      </c>
      <c r="I53" s="617" t="s">
        <v>1142</v>
      </c>
      <c r="J53" s="660" t="s">
        <v>12</v>
      </c>
      <c r="K53" s="620"/>
    </row>
    <row r="54" spans="1:11" s="622" customFormat="1" ht="18.75" hidden="1" customHeight="1">
      <c r="A54" s="617" t="s">
        <v>1234</v>
      </c>
      <c r="B54" s="617" t="s">
        <v>1829</v>
      </c>
      <c r="C54" s="617" t="s">
        <v>1189</v>
      </c>
      <c r="D54" s="617" t="s">
        <v>1368</v>
      </c>
      <c r="E54" s="617" t="s">
        <v>1217</v>
      </c>
      <c r="F54" s="617" t="s">
        <v>1228</v>
      </c>
      <c r="G54" s="617" t="s">
        <v>1230</v>
      </c>
      <c r="H54" s="617" t="s">
        <v>1214</v>
      </c>
      <c r="I54" s="617" t="s">
        <v>1142</v>
      </c>
      <c r="J54" s="660" t="s">
        <v>14</v>
      </c>
      <c r="K54" s="620"/>
    </row>
    <row r="55" spans="1:11" s="622" customFormat="1" ht="18.75" hidden="1" customHeight="1">
      <c r="A55" s="617" t="s">
        <v>1235</v>
      </c>
      <c r="B55" s="617" t="s">
        <v>1829</v>
      </c>
      <c r="C55" s="617" t="s">
        <v>1189</v>
      </c>
      <c r="D55" s="617" t="s">
        <v>1368</v>
      </c>
      <c r="E55" s="617" t="s">
        <v>1217</v>
      </c>
      <c r="F55" s="617" t="s">
        <v>1228</v>
      </c>
      <c r="G55" s="617" t="s">
        <v>1230</v>
      </c>
      <c r="H55" s="617" t="s">
        <v>1141</v>
      </c>
      <c r="I55" s="617" t="s">
        <v>1142</v>
      </c>
      <c r="J55" s="660" t="s">
        <v>15</v>
      </c>
      <c r="K55" s="620"/>
    </row>
    <row r="56" spans="1:11" s="622" customFormat="1" ht="18.75" hidden="1" customHeight="1">
      <c r="A56" s="617" t="s">
        <v>1236</v>
      </c>
      <c r="B56" s="617" t="s">
        <v>1829</v>
      </c>
      <c r="C56" s="617" t="s">
        <v>1189</v>
      </c>
      <c r="D56" s="617" t="s">
        <v>1368</v>
      </c>
      <c r="E56" s="617" t="s">
        <v>1217</v>
      </c>
      <c r="F56" s="617" t="s">
        <v>1237</v>
      </c>
      <c r="G56" s="617"/>
      <c r="H56" s="617"/>
      <c r="I56" s="617"/>
      <c r="J56" s="660" t="s">
        <v>1213</v>
      </c>
      <c r="K56" s="620">
        <f>K57</f>
        <v>0</v>
      </c>
    </row>
    <row r="57" spans="1:11" s="622" customFormat="1" ht="18.75" hidden="1" customHeight="1">
      <c r="A57" s="617" t="s">
        <v>1222</v>
      </c>
      <c r="B57" s="617" t="s">
        <v>1829</v>
      </c>
      <c r="C57" s="617" t="s">
        <v>1189</v>
      </c>
      <c r="D57" s="617" t="s">
        <v>1368</v>
      </c>
      <c r="E57" s="617" t="s">
        <v>1217</v>
      </c>
      <c r="F57" s="617" t="s">
        <v>1237</v>
      </c>
      <c r="G57" s="617" t="s">
        <v>1372</v>
      </c>
      <c r="H57" s="617"/>
      <c r="I57" s="617"/>
      <c r="J57" s="660" t="s">
        <v>155</v>
      </c>
      <c r="K57" s="620">
        <f>SUM(K58:K61)</f>
        <v>0</v>
      </c>
    </row>
    <row r="58" spans="1:11" s="622" customFormat="1" ht="18.75" hidden="1" customHeight="1">
      <c r="A58" s="617" t="s">
        <v>1238</v>
      </c>
      <c r="B58" s="617" t="s">
        <v>1829</v>
      </c>
      <c r="C58" s="617" t="s">
        <v>1189</v>
      </c>
      <c r="D58" s="617" t="s">
        <v>1368</v>
      </c>
      <c r="E58" s="617" t="s">
        <v>1217</v>
      </c>
      <c r="F58" s="617" t="s">
        <v>1237</v>
      </c>
      <c r="G58" s="617" t="s">
        <v>1372</v>
      </c>
      <c r="H58" s="617" t="s">
        <v>1223</v>
      </c>
      <c r="I58" s="617" t="s">
        <v>1142</v>
      </c>
      <c r="J58" s="660" t="s">
        <v>11</v>
      </c>
      <c r="K58" s="620"/>
    </row>
    <row r="59" spans="1:11" s="622" customFormat="1" ht="18.75" hidden="1" customHeight="1">
      <c r="A59" s="617" t="s">
        <v>1224</v>
      </c>
      <c r="B59" s="617" t="s">
        <v>1829</v>
      </c>
      <c r="C59" s="617" t="s">
        <v>1189</v>
      </c>
      <c r="D59" s="617" t="s">
        <v>1368</v>
      </c>
      <c r="E59" s="617" t="s">
        <v>1217</v>
      </c>
      <c r="F59" s="617" t="s">
        <v>1237</v>
      </c>
      <c r="G59" s="617" t="s">
        <v>1372</v>
      </c>
      <c r="H59" s="617" t="s">
        <v>1206</v>
      </c>
      <c r="I59" s="617" t="s">
        <v>1142</v>
      </c>
      <c r="J59" s="660" t="s">
        <v>12</v>
      </c>
      <c r="K59" s="620"/>
    </row>
    <row r="60" spans="1:11" s="622" customFormat="1" ht="18.75" hidden="1" customHeight="1">
      <c r="A60" s="617" t="s">
        <v>1239</v>
      </c>
      <c r="B60" s="617" t="s">
        <v>1829</v>
      </c>
      <c r="C60" s="617" t="s">
        <v>1189</v>
      </c>
      <c r="D60" s="617" t="s">
        <v>1368</v>
      </c>
      <c r="E60" s="617" t="s">
        <v>1217</v>
      </c>
      <c r="F60" s="617" t="s">
        <v>1237</v>
      </c>
      <c r="G60" s="617" t="s">
        <v>1372</v>
      </c>
      <c r="H60" s="617" t="s">
        <v>1214</v>
      </c>
      <c r="I60" s="617" t="s">
        <v>1142</v>
      </c>
      <c r="J60" s="660" t="s">
        <v>14</v>
      </c>
      <c r="K60" s="620"/>
    </row>
    <row r="61" spans="1:11" s="622" customFormat="1" ht="18.75" hidden="1" customHeight="1">
      <c r="A61" s="617" t="s">
        <v>1240</v>
      </c>
      <c r="B61" s="617" t="s">
        <v>1829</v>
      </c>
      <c r="C61" s="617" t="s">
        <v>1189</v>
      </c>
      <c r="D61" s="617" t="s">
        <v>1368</v>
      </c>
      <c r="E61" s="617" t="s">
        <v>1217</v>
      </c>
      <c r="F61" s="617" t="s">
        <v>1237</v>
      </c>
      <c r="G61" s="617" t="s">
        <v>1372</v>
      </c>
      <c r="H61" s="617" t="s">
        <v>1141</v>
      </c>
      <c r="I61" s="617" t="s">
        <v>1142</v>
      </c>
      <c r="J61" s="660" t="s">
        <v>15</v>
      </c>
      <c r="K61" s="620"/>
    </row>
    <row r="62" spans="1:11" s="622" customFormat="1" ht="31.5" hidden="1">
      <c r="A62" s="620" t="s">
        <v>1137</v>
      </c>
      <c r="B62" s="617" t="s">
        <v>1270</v>
      </c>
      <c r="C62" s="617"/>
      <c r="D62" s="617"/>
      <c r="E62" s="617"/>
      <c r="F62" s="621"/>
      <c r="G62" s="617"/>
      <c r="H62" s="617"/>
      <c r="I62" s="617"/>
      <c r="J62" s="660" t="s">
        <v>1149</v>
      </c>
      <c r="K62" s="620">
        <f>K63</f>
        <v>0</v>
      </c>
    </row>
    <row r="63" spans="1:11" s="622" customFormat="1" ht="31.5" hidden="1">
      <c r="A63" s="623">
        <f>A62+1</f>
        <v>2</v>
      </c>
      <c r="B63" s="617" t="s">
        <v>1270</v>
      </c>
      <c r="C63" s="617"/>
      <c r="D63" s="617"/>
      <c r="E63" s="617"/>
      <c r="F63" s="617"/>
      <c r="G63" s="617"/>
      <c r="H63" s="617"/>
      <c r="I63" s="617"/>
      <c r="J63" s="660" t="s">
        <v>147</v>
      </c>
      <c r="K63" s="620">
        <f>K67</f>
        <v>0</v>
      </c>
    </row>
    <row r="64" spans="1:11" s="622" customFormat="1" ht="15.75" hidden="1">
      <c r="A64" s="623">
        <f>A63+1</f>
        <v>3</v>
      </c>
      <c r="B64" s="617" t="s">
        <v>1270</v>
      </c>
      <c r="C64" s="617"/>
      <c r="D64" s="617" t="s">
        <v>1138</v>
      </c>
      <c r="E64" s="617"/>
      <c r="F64" s="617"/>
      <c r="G64" s="617"/>
      <c r="H64" s="617"/>
      <c r="I64" s="617"/>
      <c r="J64" s="808" t="s">
        <v>1745</v>
      </c>
      <c r="K64" s="620"/>
    </row>
    <row r="65" spans="1:17" s="622" customFormat="1" ht="15.75" hidden="1">
      <c r="A65" s="623">
        <f>A64+1</f>
        <v>4</v>
      </c>
      <c r="B65" s="617" t="s">
        <v>1270</v>
      </c>
      <c r="C65" s="617"/>
      <c r="D65" s="617" t="s">
        <v>1138</v>
      </c>
      <c r="E65" s="617" t="s">
        <v>1139</v>
      </c>
      <c r="F65" s="617"/>
      <c r="G65" s="617"/>
      <c r="H65" s="617"/>
      <c r="I65" s="617"/>
      <c r="J65" s="808" t="s">
        <v>1746</v>
      </c>
      <c r="K65" s="620"/>
    </row>
    <row r="66" spans="1:17" s="622" customFormat="1" ht="15.75" hidden="1">
      <c r="A66" s="623">
        <f>A65+1</f>
        <v>5</v>
      </c>
      <c r="B66" s="617" t="s">
        <v>1270</v>
      </c>
      <c r="C66" s="617"/>
      <c r="D66" s="617" t="s">
        <v>1138</v>
      </c>
      <c r="E66" s="617" t="s">
        <v>1370</v>
      </c>
      <c r="F66" s="617" t="s">
        <v>1371</v>
      </c>
      <c r="G66" s="617"/>
      <c r="H66" s="617"/>
      <c r="I66" s="617"/>
      <c r="J66" s="660" t="s">
        <v>1747</v>
      </c>
      <c r="K66" s="620"/>
    </row>
    <row r="67" spans="1:17" s="622" customFormat="1" ht="31.5" hidden="1">
      <c r="A67" s="623">
        <v>3</v>
      </c>
      <c r="B67" s="617" t="s">
        <v>1270</v>
      </c>
      <c r="C67" s="617"/>
      <c r="D67" s="617"/>
      <c r="E67" s="617"/>
      <c r="F67" s="617"/>
      <c r="G67" s="617" t="s">
        <v>1140</v>
      </c>
      <c r="H67" s="617"/>
      <c r="I67" s="617"/>
      <c r="J67" s="660" t="s">
        <v>157</v>
      </c>
      <c r="K67" s="620">
        <f>K68</f>
        <v>0</v>
      </c>
    </row>
    <row r="68" spans="1:17" s="622" customFormat="1" ht="15.75" hidden="1">
      <c r="A68" s="623">
        <v>4</v>
      </c>
      <c r="B68" s="617" t="s">
        <v>1270</v>
      </c>
      <c r="C68" s="617"/>
      <c r="D68" s="617"/>
      <c r="E68" s="617"/>
      <c r="F68" s="617" t="s">
        <v>1150</v>
      </c>
      <c r="G68" s="617" t="s">
        <v>1372</v>
      </c>
      <c r="H68" s="617" t="s">
        <v>1141</v>
      </c>
      <c r="I68" s="617" t="s">
        <v>1142</v>
      </c>
      <c r="J68" s="660" t="s">
        <v>1143</v>
      </c>
      <c r="K68" s="620"/>
    </row>
    <row r="69" spans="1:17" s="622" customFormat="1" ht="111.75" hidden="1" customHeight="1">
      <c r="A69" s="617" t="s">
        <v>1210</v>
      </c>
      <c r="B69" s="617" t="s">
        <v>1137</v>
      </c>
      <c r="C69" s="617" t="s">
        <v>1189</v>
      </c>
      <c r="D69" s="617" t="s">
        <v>1368</v>
      </c>
      <c r="E69" s="617" t="s">
        <v>1322</v>
      </c>
      <c r="F69" s="621"/>
      <c r="G69" s="617"/>
      <c r="H69" s="617"/>
      <c r="I69" s="617"/>
      <c r="J69" s="660" t="s">
        <v>1241</v>
      </c>
      <c r="K69" s="620">
        <f>K70</f>
        <v>0</v>
      </c>
    </row>
    <row r="70" spans="1:17" s="622" customFormat="1" ht="31.5" hidden="1">
      <c r="A70" s="623">
        <v>15</v>
      </c>
      <c r="B70" s="617" t="s">
        <v>1137</v>
      </c>
      <c r="C70" s="617" t="s">
        <v>1189</v>
      </c>
      <c r="D70" s="617" t="s">
        <v>1368</v>
      </c>
      <c r="E70" s="617" t="s">
        <v>1322</v>
      </c>
      <c r="F70" s="617"/>
      <c r="G70" s="617" t="s">
        <v>1323</v>
      </c>
      <c r="H70" s="617"/>
      <c r="I70" s="617"/>
      <c r="J70" s="660" t="s">
        <v>1242</v>
      </c>
      <c r="K70" s="620">
        <f>K74</f>
        <v>0</v>
      </c>
    </row>
    <row r="71" spans="1:17" s="622" customFormat="1" ht="15.75" hidden="1">
      <c r="A71" s="623">
        <f>A70+1</f>
        <v>16</v>
      </c>
      <c r="B71" s="617"/>
      <c r="C71" s="617" t="s">
        <v>1189</v>
      </c>
      <c r="D71" s="617" t="s">
        <v>1368</v>
      </c>
      <c r="E71" s="617" t="s">
        <v>1322</v>
      </c>
      <c r="F71" s="617"/>
      <c r="G71" s="617"/>
      <c r="H71" s="617"/>
      <c r="I71" s="617"/>
      <c r="J71" s="808" t="s">
        <v>1745</v>
      </c>
      <c r="K71" s="620"/>
    </row>
    <row r="72" spans="1:17" s="622" customFormat="1" ht="15.75" hidden="1">
      <c r="A72" s="623">
        <f>A71+1</f>
        <v>17</v>
      </c>
      <c r="B72" s="617"/>
      <c r="C72" s="617" t="s">
        <v>1189</v>
      </c>
      <c r="D72" s="617" t="s">
        <v>1368</v>
      </c>
      <c r="E72" s="617" t="s">
        <v>1322</v>
      </c>
      <c r="F72" s="617"/>
      <c r="G72" s="617"/>
      <c r="H72" s="617"/>
      <c r="I72" s="617"/>
      <c r="J72" s="808" t="s">
        <v>1746</v>
      </c>
      <c r="K72" s="620"/>
    </row>
    <row r="73" spans="1:17" s="622" customFormat="1" ht="15.75" hidden="1">
      <c r="A73" s="623">
        <f>A72+1</f>
        <v>18</v>
      </c>
      <c r="B73" s="617"/>
      <c r="C73" s="617" t="s">
        <v>1189</v>
      </c>
      <c r="D73" s="617" t="s">
        <v>1368</v>
      </c>
      <c r="E73" s="617" t="s">
        <v>1322</v>
      </c>
      <c r="F73" s="617" t="s">
        <v>1371</v>
      </c>
      <c r="G73" s="617"/>
      <c r="H73" s="617"/>
      <c r="I73" s="617"/>
      <c r="J73" s="660" t="s">
        <v>1747</v>
      </c>
      <c r="K73" s="620"/>
    </row>
    <row r="74" spans="1:17" s="622" customFormat="1" ht="15.75" hidden="1">
      <c r="A74" s="623">
        <v>16</v>
      </c>
      <c r="B74" s="617" t="s">
        <v>1137</v>
      </c>
      <c r="C74" s="617" t="s">
        <v>1189</v>
      </c>
      <c r="D74" s="617" t="s">
        <v>1368</v>
      </c>
      <c r="E74" s="617" t="s">
        <v>1322</v>
      </c>
      <c r="F74" s="617"/>
      <c r="G74" s="617" t="s">
        <v>1323</v>
      </c>
      <c r="H74" s="617"/>
      <c r="I74" s="617"/>
      <c r="J74" s="660" t="s">
        <v>1243</v>
      </c>
      <c r="K74" s="620">
        <f>K75</f>
        <v>0</v>
      </c>
    </row>
    <row r="75" spans="1:17" s="622" customFormat="1" ht="15.75" hidden="1">
      <c r="A75" s="623">
        <v>17</v>
      </c>
      <c r="B75" s="617" t="s">
        <v>1137</v>
      </c>
      <c r="C75" s="617" t="s">
        <v>1189</v>
      </c>
      <c r="D75" s="617" t="s">
        <v>1368</v>
      </c>
      <c r="E75" s="617" t="s">
        <v>1322</v>
      </c>
      <c r="F75" s="617"/>
      <c r="G75" s="617" t="s">
        <v>1323</v>
      </c>
      <c r="H75" s="617" t="s">
        <v>1324</v>
      </c>
      <c r="I75" s="617" t="s">
        <v>1142</v>
      </c>
      <c r="J75" s="660" t="s">
        <v>1321</v>
      </c>
      <c r="K75" s="620"/>
    </row>
    <row r="76" spans="1:17" ht="16.7" customHeight="1">
      <c r="A76" s="1457" t="s">
        <v>183</v>
      </c>
      <c r="B76" s="1458"/>
      <c r="C76" s="1458"/>
      <c r="D76" s="1458"/>
      <c r="E76" s="1458"/>
      <c r="F76" s="1458"/>
      <c r="G76" s="1458"/>
      <c r="H76" s="1458"/>
      <c r="I76" s="1458"/>
      <c r="J76" s="1459"/>
      <c r="K76" s="809">
        <f>K62+K15+K69</f>
        <v>0</v>
      </c>
      <c r="L76" s="622"/>
      <c r="N76" s="810"/>
    </row>
    <row r="78" spans="1:17" s="671" customFormat="1" ht="15.75">
      <c r="A78" s="669" t="s">
        <v>1077</v>
      </c>
      <c r="B78" s="669"/>
      <c r="C78" s="664"/>
      <c r="D78" s="664"/>
      <c r="E78" s="664"/>
      <c r="F78" s="696"/>
      <c r="G78" s="664"/>
      <c r="H78" s="664"/>
      <c r="I78" s="664"/>
      <c r="J78" s="664"/>
      <c r="K78" s="696" t="s">
        <v>1040</v>
      </c>
      <c r="L78" s="664"/>
      <c r="M78" s="801"/>
      <c r="N78" s="801"/>
      <c r="O78" s="664"/>
      <c r="P78" s="664"/>
      <c r="Q78" s="664"/>
    </row>
    <row r="79" spans="1:17" s="671" customFormat="1" ht="31.5" customHeight="1">
      <c r="A79" s="670"/>
      <c r="B79" s="670"/>
      <c r="C79" s="702"/>
      <c r="D79" s="702"/>
      <c r="E79" s="702"/>
      <c r="F79" s="699" t="s">
        <v>1078</v>
      </c>
      <c r="G79" s="665"/>
      <c r="H79" s="665"/>
      <c r="I79" s="665"/>
      <c r="J79" s="665"/>
      <c r="K79" s="665" t="s">
        <v>1079</v>
      </c>
      <c r="L79" s="702"/>
      <c r="M79" s="801"/>
      <c r="N79" s="801"/>
      <c r="O79" s="702"/>
      <c r="P79" s="702"/>
      <c r="Q79" s="702"/>
    </row>
    <row r="80" spans="1:17" s="671" customFormat="1" ht="15.75">
      <c r="A80" s="669" t="s">
        <v>1076</v>
      </c>
      <c r="B80" s="669"/>
      <c r="C80" s="664"/>
      <c r="D80" s="664"/>
      <c r="E80" s="664"/>
      <c r="F80" s="701"/>
      <c r="G80" s="666"/>
      <c r="H80" s="666"/>
      <c r="I80" s="666"/>
      <c r="J80" s="666"/>
      <c r="K80" s="701" t="s">
        <v>1245</v>
      </c>
      <c r="L80" s="664"/>
      <c r="M80" s="801"/>
      <c r="N80" s="801"/>
      <c r="O80" s="664"/>
      <c r="P80" s="664"/>
      <c r="Q80" s="664"/>
    </row>
    <row r="81" spans="2:17" s="671" customFormat="1" ht="31.5" customHeight="1">
      <c r="B81" s="670"/>
      <c r="C81" s="702"/>
      <c r="D81" s="702"/>
      <c r="E81" s="702"/>
      <c r="F81" s="699" t="s">
        <v>1078</v>
      </c>
      <c r="G81" s="665"/>
      <c r="H81" s="665"/>
      <c r="I81" s="665"/>
      <c r="J81" s="665"/>
      <c r="K81" s="665" t="s">
        <v>1079</v>
      </c>
      <c r="L81" s="702"/>
      <c r="M81" s="801"/>
      <c r="N81" s="801"/>
      <c r="O81" s="702"/>
      <c r="P81" s="702"/>
      <c r="Q81" s="702"/>
    </row>
  </sheetData>
  <customSheetViews>
    <customSheetView guid="{CA0FB9E2-E541-4C74-BCFE-D75491869B36}" fitToPage="1" hiddenColumns="1">
      <selection activeCell="J17" sqref="J17"/>
      <pageMargins left="0.70866141732283472" right="0.70866141732283472" top="0.74803149606299213" bottom="0.74803149606299213" header="0.31496062992125984" footer="0.31496062992125984"/>
      <pageSetup paperSize="9" scale="87" orientation="landscape" r:id="rId1"/>
    </customSheetView>
    <customSheetView guid="{F10E3D8B-5892-420A-B023-68C6496D556B}" fitToPage="1" hiddenColumns="1">
      <selection activeCell="H1" sqref="H1:K1"/>
      <pageMargins left="0.70866141732283472" right="0.70866141732283472" top="0.74803149606299213" bottom="0.74803149606299213" header="0.31496062992125984" footer="0.31496062992125984"/>
      <pageSetup paperSize="9" scale="87" orientation="landscape" r:id="rId2"/>
    </customSheetView>
    <customSheetView guid="{FE7E58EF-FECC-4DF6-BB75-BA97138CB219}" fitToPage="1" hiddenColumns="1">
      <selection activeCell="H1" sqref="H1:K1"/>
      <pageMargins left="0.70866141732283472" right="0.70866141732283472" top="0.74803149606299213" bottom="0.74803149606299213" header="0.31496062992125984" footer="0.31496062992125984"/>
      <pageSetup paperSize="9" scale="87" orientation="landscape" r:id="rId3"/>
    </customSheetView>
    <customSheetView guid="{43136B00-66C6-4289-99D3-5EF20611F834}" fitToPage="1" hiddenColumns="1">
      <selection activeCell="A23" sqref="A23:IV26"/>
      <pageMargins left="0.70866141732283472" right="0.70866141732283472" top="0.74803149606299213" bottom="0.74803149606299213" header="0.31496062992125984" footer="0.31496062992125984"/>
      <pageSetup paperSize="9" scale="87" orientation="landscape" r:id="rId4"/>
    </customSheetView>
    <customSheetView guid="{22820B9F-10DE-4629-AF3D-4AF98A9BCEDB}" fitToPage="1" hiddenColumns="1">
      <selection activeCell="A23" sqref="A23:IV26"/>
      <pageMargins left="0.70866141732283472" right="0.70866141732283472" top="0.74803149606299213" bottom="0.74803149606299213" header="0.31496062992125984" footer="0.31496062992125984"/>
      <pageSetup paperSize="9" scale="87" orientation="landscape" r:id="rId5"/>
    </customSheetView>
  </customSheetViews>
  <mergeCells count="16">
    <mergeCell ref="A6:I6"/>
    <mergeCell ref="I10:I12"/>
    <mergeCell ref="H1:K1"/>
    <mergeCell ref="A76:J76"/>
    <mergeCell ref="G10:G12"/>
    <mergeCell ref="H10:H12"/>
    <mergeCell ref="J10:J12"/>
    <mergeCell ref="K10:K12"/>
    <mergeCell ref="A3:K3"/>
    <mergeCell ref="A4:K4"/>
    <mergeCell ref="E10:E12"/>
    <mergeCell ref="F10:F12"/>
    <mergeCell ref="A10:A12"/>
    <mergeCell ref="B10:B12"/>
    <mergeCell ref="C10:C12"/>
    <mergeCell ref="D10:D12"/>
  </mergeCells>
  <phoneticPr fontId="116" type="noConversion"/>
  <pageMargins left="0.39370078740157483" right="0.39370078740157483" top="0.31496062992125984" bottom="0" header="0.31496062992125984" footer="0"/>
  <pageSetup paperSize="9" scale="73" orientation="landscape" r:id="rId6"/>
</worksheet>
</file>

<file path=xl/worksheets/sheet10.xml><?xml version="1.0" encoding="utf-8"?>
<worksheet xmlns="http://schemas.openxmlformats.org/spreadsheetml/2006/main" xmlns:r="http://schemas.openxmlformats.org/officeDocument/2006/relationships">
  <sheetPr>
    <tabColor rgb="FFFF0000"/>
  </sheetPr>
  <dimension ref="A1:G32"/>
  <sheetViews>
    <sheetView view="pageBreakPreview" zoomScale="98" zoomScaleNormal="100" zoomScaleSheetLayoutView="98" workbookViewId="0">
      <selection activeCell="C10" sqref="C10"/>
    </sheetView>
  </sheetViews>
  <sheetFormatPr defaultRowHeight="15.75"/>
  <cols>
    <col min="1" max="1" width="47.28515625" style="161" customWidth="1"/>
    <col min="2" max="2" width="12.42578125" style="161" customWidth="1"/>
    <col min="3" max="3" width="35.42578125" style="161" customWidth="1"/>
    <col min="4" max="6" width="9.140625" style="154"/>
    <col min="7" max="7" width="15.7109375" style="154" customWidth="1"/>
    <col min="8" max="16384" width="9.140625" style="154"/>
  </cols>
  <sheetData>
    <row r="1" spans="1:7">
      <c r="C1" s="164" t="s">
        <v>30</v>
      </c>
    </row>
    <row r="2" spans="1:7">
      <c r="C2" s="162"/>
    </row>
    <row r="3" spans="1:7" ht="80.25" customHeight="1">
      <c r="A3" s="1525" t="s">
        <v>1495</v>
      </c>
      <c r="B3" s="1525"/>
      <c r="C3" s="1525"/>
    </row>
    <row r="4" spans="1:7">
      <c r="A4" s="606"/>
      <c r="B4" s="606"/>
      <c r="C4" s="606"/>
    </row>
    <row r="5" spans="1:7">
      <c r="A5" s="616" t="s">
        <v>1300</v>
      </c>
      <c r="B5" s="616" t="s">
        <v>709</v>
      </c>
      <c r="C5" s="616" t="s">
        <v>90</v>
      </c>
    </row>
    <row r="6" spans="1:7">
      <c r="A6" s="616">
        <v>1</v>
      </c>
      <c r="B6" s="616">
        <v>2</v>
      </c>
      <c r="C6" s="616">
        <v>3</v>
      </c>
      <c r="G6" s="714"/>
    </row>
    <row r="7" spans="1:7">
      <c r="A7" s="607" t="s">
        <v>1871</v>
      </c>
      <c r="B7" s="608">
        <v>10</v>
      </c>
      <c r="C7" s="609">
        <v>154634.6</v>
      </c>
      <c r="G7" s="715"/>
    </row>
    <row r="8" spans="1:7">
      <c r="A8" s="607" t="s">
        <v>19</v>
      </c>
      <c r="B8" s="608">
        <v>20</v>
      </c>
      <c r="C8" s="609">
        <v>154634.6</v>
      </c>
      <c r="D8" s="582"/>
      <c r="G8" s="715"/>
    </row>
    <row r="9" spans="1:7">
      <c r="A9" s="607" t="s">
        <v>28</v>
      </c>
      <c r="B9" s="608">
        <v>30</v>
      </c>
      <c r="C9" s="609">
        <v>0</v>
      </c>
      <c r="G9" s="715"/>
    </row>
    <row r="10" spans="1:7">
      <c r="A10" s="607" t="s">
        <v>29</v>
      </c>
      <c r="B10" s="608">
        <v>40</v>
      </c>
      <c r="C10" s="609">
        <f>C7+C9-C8</f>
        <v>0</v>
      </c>
      <c r="G10" s="715"/>
    </row>
    <row r="13" spans="1:7">
      <c r="C13" s="164" t="s">
        <v>1792</v>
      </c>
    </row>
    <row r="14" spans="1:7">
      <c r="C14" s="164"/>
    </row>
    <row r="15" spans="1:7" ht="26.25" customHeight="1">
      <c r="A15" s="1526" t="s">
        <v>1496</v>
      </c>
      <c r="B15" s="1526"/>
      <c r="C15" s="1526"/>
    </row>
    <row r="16" spans="1:7">
      <c r="A16" s="606"/>
      <c r="B16" s="606"/>
      <c r="C16" s="606"/>
    </row>
    <row r="17" spans="1:4">
      <c r="A17" s="616" t="s">
        <v>1300</v>
      </c>
      <c r="B17" s="616" t="s">
        <v>709</v>
      </c>
      <c r="C17" s="616" t="s">
        <v>90</v>
      </c>
    </row>
    <row r="18" spans="1:4">
      <c r="A18" s="616">
        <v>1</v>
      </c>
      <c r="B18" s="616">
        <v>2</v>
      </c>
      <c r="C18" s="616">
        <v>3</v>
      </c>
    </row>
    <row r="19" spans="1:4" ht="16.7" customHeight="1">
      <c r="A19" s="607" t="s">
        <v>31</v>
      </c>
      <c r="B19" s="608">
        <v>10</v>
      </c>
      <c r="C19" s="609">
        <v>61069.93</v>
      </c>
      <c r="D19" s="154">
        <v>2018</v>
      </c>
    </row>
    <row r="20" spans="1:4" ht="80.25" customHeight="1">
      <c r="A20" s="165" t="s">
        <v>1788</v>
      </c>
      <c r="B20" s="166">
        <v>20</v>
      </c>
      <c r="C20" s="167"/>
    </row>
    <row r="21" spans="1:4" ht="31.5">
      <c r="A21" s="144" t="s">
        <v>1789</v>
      </c>
      <c r="B21" s="163">
        <v>30</v>
      </c>
      <c r="C21" s="609">
        <v>154634.6</v>
      </c>
    </row>
    <row r="25" spans="1:4" ht="15.75" customHeight="1">
      <c r="B25" s="505"/>
      <c r="C25" s="176"/>
    </row>
    <row r="26" spans="1:4" ht="55.5" customHeight="1">
      <c r="A26" s="505" t="s">
        <v>1055</v>
      </c>
      <c r="B26" s="505"/>
      <c r="C26" s="402" t="s">
        <v>1056</v>
      </c>
    </row>
    <row r="27" spans="1:4">
      <c r="A27" s="403"/>
      <c r="B27" s="403"/>
      <c r="C27" s="404" t="s">
        <v>152</v>
      </c>
    </row>
    <row r="28" spans="1:4">
      <c r="A28" s="1527"/>
      <c r="B28" s="1527"/>
      <c r="C28" s="1527"/>
    </row>
    <row r="29" spans="1:4">
      <c r="A29" s="403" t="s">
        <v>1790</v>
      </c>
      <c r="B29" s="403"/>
      <c r="C29" s="405" t="s">
        <v>1057</v>
      </c>
    </row>
    <row r="30" spans="1:4">
      <c r="A30" s="403"/>
      <c r="B30" s="403"/>
      <c r="C30" s="404" t="s">
        <v>1791</v>
      </c>
    </row>
    <row r="31" spans="1:4" ht="15">
      <c r="A31" s="21" t="s">
        <v>1058</v>
      </c>
      <c r="B31" s="21"/>
      <c r="C31" s="21"/>
    </row>
    <row r="32" spans="1:4">
      <c r="A32" s="168"/>
    </row>
  </sheetData>
  <mergeCells count="3">
    <mergeCell ref="A3:C3"/>
    <mergeCell ref="A15:C15"/>
    <mergeCell ref="A28:C28"/>
  </mergeCells>
  <phoneticPr fontId="116" type="noConversion"/>
  <hyperlinks>
    <hyperlink ref="A20" r:id="rId1" display="consultantplus://offline/ref=985DFA738D42EACDD6D6E7A732A35EBB5EE457B5549CFFC3D82F0102A3X1PFG"/>
  </hyperlinks>
  <pageMargins left="0.78740157480314965" right="0.39370078740157483" top="0.59055118110236227" bottom="0.59055118110236227" header="0.31496062992125984" footer="0.31496062992125984"/>
  <pageSetup paperSize="9" scale="94" orientation="portrait" r:id="rId2"/>
</worksheet>
</file>

<file path=xl/worksheets/sheet100.xml><?xml version="1.0" encoding="utf-8"?>
<worksheet xmlns="http://schemas.openxmlformats.org/spreadsheetml/2006/main" xmlns:r="http://schemas.openxmlformats.org/officeDocument/2006/relationships">
  <sheetPr codeName="Лист43"/>
  <dimension ref="A1:U36"/>
  <sheetViews>
    <sheetView view="pageBreakPreview" zoomScale="95" zoomScaleNormal="100" zoomScaleSheetLayoutView="95" workbookViewId="0">
      <selection activeCell="F29" sqref="F29"/>
    </sheetView>
  </sheetViews>
  <sheetFormatPr defaultRowHeight="15"/>
  <cols>
    <col min="1" max="1" width="29" style="13" customWidth="1"/>
    <col min="2" max="2" width="9.42578125" style="13" customWidth="1"/>
    <col min="3" max="3" width="10.85546875" style="13" customWidth="1"/>
    <col min="4" max="4" width="11.28515625" style="13" customWidth="1"/>
    <col min="5" max="5" width="9.42578125" style="13" customWidth="1"/>
    <col min="6" max="6" width="7.28515625" style="13" customWidth="1"/>
    <col min="7" max="7" width="16" style="13" customWidth="1"/>
    <col min="8" max="8" width="5.140625" style="13" customWidth="1"/>
    <col min="9" max="9" width="9.140625" style="13"/>
    <col min="10" max="11" width="9.140625" style="12"/>
    <col min="12" max="12" width="24" style="12" customWidth="1"/>
    <col min="13" max="13" width="9.140625" style="12"/>
    <col min="14" max="14" width="9" style="12" customWidth="1"/>
    <col min="15" max="16" width="9.140625" style="12"/>
    <col min="17" max="17" width="12" style="12" bestFit="1" customWidth="1"/>
    <col min="18" max="21" width="9.140625" style="12"/>
    <col min="22" max="16384" width="9.140625" style="13"/>
  </cols>
  <sheetData>
    <row r="1" spans="1:21" ht="15.75">
      <c r="A1" s="379"/>
      <c r="B1" s="379"/>
      <c r="C1" s="379"/>
      <c r="D1" s="379"/>
      <c r="E1" s="379"/>
      <c r="F1" s="379"/>
      <c r="G1" s="209" t="s">
        <v>1916</v>
      </c>
      <c r="H1" s="379"/>
    </row>
    <row r="2" spans="1:21" ht="15.75">
      <c r="A2" s="379"/>
      <c r="B2" s="379"/>
      <c r="C2" s="379"/>
      <c r="D2" s="379"/>
      <c r="E2" s="379"/>
      <c r="F2" s="379"/>
      <c r="G2" s="209"/>
      <c r="H2" s="379"/>
    </row>
    <row r="3" spans="1:21" ht="65.25" customHeight="1">
      <c r="A3" s="2083" t="s">
        <v>335</v>
      </c>
      <c r="B3" s="2083"/>
      <c r="C3" s="2083"/>
      <c r="D3" s="2083"/>
      <c r="E3" s="2083"/>
      <c r="F3" s="2083"/>
      <c r="G3" s="2083"/>
      <c r="H3" s="449"/>
      <c r="I3" s="10"/>
      <c r="J3" s="11"/>
      <c r="K3" s="11"/>
    </row>
    <row r="4" spans="1:21" ht="24.75" customHeight="1">
      <c r="A4" s="379" t="s">
        <v>1548</v>
      </c>
      <c r="B4" s="379"/>
      <c r="C4" s="379"/>
      <c r="D4" s="379"/>
      <c r="E4" s="379"/>
      <c r="F4" s="379"/>
      <c r="G4" s="379"/>
      <c r="H4" s="379"/>
      <c r="K4" s="24"/>
    </row>
    <row r="5" spans="1:21" ht="15.75" hidden="1">
      <c r="A5" s="2087" t="s">
        <v>1387</v>
      </c>
      <c r="B5" s="2087"/>
      <c r="C5" s="2087"/>
      <c r="D5" s="2087"/>
      <c r="E5" s="2087"/>
      <c r="F5" s="2087"/>
      <c r="G5" s="380">
        <v>191.57</v>
      </c>
      <c r="H5" s="379"/>
      <c r="K5" s="24"/>
    </row>
    <row r="6" spans="1:21" ht="15.75">
      <c r="A6" s="2088" t="s">
        <v>1744</v>
      </c>
      <c r="B6" s="2088"/>
      <c r="C6" s="2088"/>
      <c r="D6" s="2088"/>
      <c r="E6" s="2088"/>
      <c r="F6" s="2088"/>
      <c r="G6" s="381"/>
      <c r="H6" s="379"/>
      <c r="K6" s="24"/>
    </row>
    <row r="7" spans="1:21" ht="15.75">
      <c r="A7" s="450"/>
      <c r="B7" s="450"/>
      <c r="C7" s="450"/>
      <c r="D7" s="450"/>
      <c r="E7" s="450"/>
      <c r="F7" s="450"/>
      <c r="G7" s="381"/>
      <c r="H7" s="379"/>
      <c r="K7" s="24"/>
      <c r="O7" s="14"/>
    </row>
    <row r="8" spans="1:21" ht="15" customHeight="1">
      <c r="A8" s="2082" t="s">
        <v>1549</v>
      </c>
      <c r="B8" s="2082"/>
      <c r="C8" s="2082"/>
      <c r="D8" s="2082"/>
      <c r="E8" s="2082"/>
      <c r="F8" s="2082"/>
      <c r="G8" s="382"/>
      <c r="H8" s="379"/>
      <c r="K8" s="24"/>
    </row>
    <row r="9" spans="1:21" ht="16.7" customHeight="1">
      <c r="A9" s="2082" t="s">
        <v>1550</v>
      </c>
      <c r="B9" s="2082"/>
      <c r="C9" s="2082"/>
      <c r="D9" s="2082"/>
      <c r="E9" s="2082"/>
      <c r="F9" s="2082"/>
      <c r="G9" s="382"/>
      <c r="H9" s="379"/>
      <c r="P9" s="14"/>
      <c r="Q9" s="14"/>
      <c r="R9" s="14"/>
      <c r="S9" s="14"/>
    </row>
    <row r="10" spans="1:21" ht="16.7" customHeight="1">
      <c r="A10" s="2084" t="s">
        <v>1551</v>
      </c>
      <c r="B10" s="2085"/>
      <c r="C10" s="2085"/>
      <c r="D10" s="2085"/>
      <c r="E10" s="2085"/>
      <c r="F10" s="2086"/>
      <c r="G10" s="383">
        <f>G8*G9*G6</f>
        <v>0</v>
      </c>
      <c r="H10" s="379"/>
      <c r="P10" s="14"/>
      <c r="Q10" s="14"/>
      <c r="R10" s="14"/>
      <c r="S10" s="14"/>
    </row>
    <row r="11" spans="1:21" s="15" customFormat="1" ht="16.7" customHeight="1">
      <c r="A11" s="384"/>
      <c r="B11" s="384"/>
      <c r="C11" s="384"/>
      <c r="D11" s="384"/>
      <c r="E11" s="384"/>
      <c r="F11" s="384"/>
      <c r="G11" s="381"/>
      <c r="H11" s="384"/>
      <c r="J11" s="14"/>
      <c r="K11" s="14"/>
      <c r="L11" s="14"/>
      <c r="M11" s="14"/>
      <c r="N11" s="14"/>
      <c r="O11" s="14"/>
      <c r="P11" s="12"/>
      <c r="Q11" s="12"/>
      <c r="R11" s="12"/>
      <c r="S11" s="12"/>
      <c r="T11" s="14"/>
      <c r="U11" s="14"/>
    </row>
    <row r="12" spans="1:21" ht="39" customHeight="1">
      <c r="A12" s="379" t="s">
        <v>1552</v>
      </c>
      <c r="B12" s="379"/>
      <c r="C12" s="379"/>
      <c r="D12" s="379"/>
      <c r="E12" s="379"/>
      <c r="F12" s="379"/>
      <c r="G12" s="379"/>
      <c r="H12" s="379"/>
      <c r="K12" s="24"/>
    </row>
    <row r="13" spans="1:21" ht="15.75">
      <c r="A13" s="379"/>
      <c r="B13" s="379"/>
      <c r="C13" s="379"/>
      <c r="D13" s="379"/>
      <c r="E13" s="379"/>
      <c r="F13" s="379"/>
      <c r="G13" s="379"/>
      <c r="H13" s="379"/>
      <c r="K13" s="24"/>
    </row>
    <row r="14" spans="1:21" ht="15.75" hidden="1">
      <c r="A14" s="2087" t="s">
        <v>1387</v>
      </c>
      <c r="B14" s="2087"/>
      <c r="C14" s="2087"/>
      <c r="D14" s="2087"/>
      <c r="E14" s="2087"/>
      <c r="F14" s="2087"/>
      <c r="G14" s="380">
        <v>210.74</v>
      </c>
      <c r="H14" s="379"/>
      <c r="K14" s="24"/>
    </row>
    <row r="15" spans="1:21" ht="15.75">
      <c r="A15" s="2088" t="s">
        <v>1744</v>
      </c>
      <c r="B15" s="2088"/>
      <c r="C15" s="2088"/>
      <c r="D15" s="2088"/>
      <c r="E15" s="2088"/>
      <c r="F15" s="2088"/>
      <c r="G15" s="381"/>
      <c r="H15" s="379"/>
      <c r="K15" s="24"/>
    </row>
    <row r="16" spans="1:21" ht="15.75">
      <c r="A16" s="379"/>
      <c r="B16" s="379"/>
      <c r="C16" s="379"/>
      <c r="D16" s="379"/>
      <c r="E16" s="379"/>
      <c r="F16" s="379"/>
      <c r="G16" s="379"/>
      <c r="H16" s="379"/>
      <c r="K16" s="24"/>
    </row>
    <row r="17" spans="1:21" ht="15" customHeight="1">
      <c r="A17" s="2082" t="s">
        <v>1549</v>
      </c>
      <c r="B17" s="2082"/>
      <c r="C17" s="2082"/>
      <c r="D17" s="2082"/>
      <c r="E17" s="2082"/>
      <c r="F17" s="2082"/>
      <c r="G17" s="382"/>
      <c r="H17" s="379"/>
      <c r="K17" s="24"/>
    </row>
    <row r="18" spans="1:21" ht="16.7" customHeight="1">
      <c r="A18" s="2084" t="s">
        <v>1550</v>
      </c>
      <c r="B18" s="2085"/>
      <c r="C18" s="2085"/>
      <c r="D18" s="2085"/>
      <c r="E18" s="2085"/>
      <c r="F18" s="2086"/>
      <c r="G18" s="382"/>
      <c r="H18" s="379"/>
      <c r="K18" s="16"/>
      <c r="L18" s="17"/>
      <c r="M18" s="17"/>
      <c r="N18" s="14"/>
      <c r="O18" s="14"/>
      <c r="P18" s="14"/>
      <c r="Q18" s="14"/>
      <c r="R18" s="14"/>
      <c r="S18" s="14"/>
    </row>
    <row r="19" spans="1:21" ht="33" customHeight="1">
      <c r="A19" s="2084" t="s">
        <v>1553</v>
      </c>
      <c r="B19" s="2085"/>
      <c r="C19" s="2085"/>
      <c r="D19" s="2085"/>
      <c r="E19" s="2085"/>
      <c r="F19" s="2086"/>
      <c r="G19" s="383">
        <f>G15*G17*G18</f>
        <v>0</v>
      </c>
      <c r="H19" s="379"/>
      <c r="K19" s="16"/>
      <c r="L19" s="17"/>
      <c r="M19" s="17"/>
      <c r="N19" s="14"/>
      <c r="O19" s="14"/>
      <c r="P19" s="14"/>
      <c r="Q19" s="14"/>
      <c r="R19" s="14"/>
      <c r="S19" s="14"/>
    </row>
    <row r="20" spans="1:21" s="15" customFormat="1" ht="16.7" customHeight="1">
      <c r="A20" s="384"/>
      <c r="B20" s="384"/>
      <c r="C20" s="384"/>
      <c r="D20" s="384"/>
      <c r="E20" s="384"/>
      <c r="F20" s="384"/>
      <c r="G20" s="381"/>
      <c r="H20" s="384"/>
      <c r="J20" s="14"/>
      <c r="K20" s="24"/>
      <c r="L20" s="12"/>
      <c r="M20" s="12"/>
      <c r="N20" s="12"/>
      <c r="O20" s="12"/>
      <c r="P20" s="12"/>
      <c r="Q20" s="12"/>
      <c r="R20" s="12"/>
      <c r="S20" s="12"/>
      <c r="T20" s="14"/>
      <c r="U20" s="14"/>
    </row>
    <row r="21" spans="1:21" ht="15.75">
      <c r="A21" s="2089"/>
      <c r="B21" s="2089"/>
      <c r="C21" s="2089"/>
      <c r="D21" s="2089"/>
      <c r="E21" s="2089"/>
      <c r="F21" s="2089"/>
      <c r="G21" s="451"/>
      <c r="H21" s="452"/>
      <c r="K21" s="24"/>
    </row>
    <row r="22" spans="1:21" ht="15.75">
      <c r="A22" s="2089"/>
      <c r="B22" s="2089"/>
      <c r="C22" s="2089"/>
      <c r="D22" s="2089"/>
      <c r="E22" s="2089"/>
      <c r="F22" s="2089"/>
      <c r="G22" s="385"/>
      <c r="H22" s="453"/>
      <c r="I22" s="12"/>
    </row>
    <row r="23" spans="1:21" ht="27.75" customHeight="1">
      <c r="A23" s="2090" t="s">
        <v>1554</v>
      </c>
      <c r="B23" s="2090"/>
      <c r="C23" s="2090"/>
      <c r="D23" s="2090"/>
      <c r="E23" s="2090"/>
      <c r="F23" s="2090"/>
      <c r="G23" s="454"/>
      <c r="H23" s="452"/>
      <c r="J23" s="18"/>
    </row>
    <row r="24" spans="1:21" ht="27.75" customHeight="1">
      <c r="A24" s="386"/>
      <c r="B24" s="386"/>
      <c r="C24" s="386"/>
      <c r="D24" s="2091" t="s">
        <v>1555</v>
      </c>
      <c r="E24" s="2091"/>
      <c r="F24" s="2091"/>
      <c r="G24" s="455">
        <f>(G10+G19)*G23</f>
        <v>0</v>
      </c>
      <c r="H24" s="452" t="s">
        <v>1276</v>
      </c>
      <c r="J24" s="18"/>
    </row>
    <row r="25" spans="1:21" ht="20.45" customHeight="1">
      <c r="A25" s="386"/>
      <c r="B25" s="386"/>
      <c r="C25" s="386"/>
      <c r="D25" s="379"/>
      <c r="E25" s="379"/>
      <c r="F25" s="379"/>
      <c r="G25" s="379"/>
      <c r="H25" s="379"/>
      <c r="J25" s="18"/>
    </row>
    <row r="26" spans="1:21" s="207" customFormat="1" ht="15.75">
      <c r="A26" s="234" t="s">
        <v>1077</v>
      </c>
      <c r="B26" s="234"/>
      <c r="C26" s="507"/>
      <c r="D26" s="311"/>
      <c r="E26" s="311"/>
      <c r="F26" s="311"/>
      <c r="G26" s="507"/>
      <c r="H26" s="311"/>
      <c r="I26" s="311"/>
      <c r="J26" s="311"/>
      <c r="K26" s="311"/>
      <c r="L26" s="311"/>
      <c r="M26" s="509"/>
      <c r="N26" s="509"/>
      <c r="O26" s="311"/>
      <c r="P26" s="311"/>
      <c r="Q26" s="311"/>
    </row>
    <row r="27" spans="1:21" s="207" customFormat="1" ht="31.5" customHeight="1">
      <c r="A27" s="221"/>
      <c r="B27" s="221"/>
      <c r="C27" s="523" t="s">
        <v>1078</v>
      </c>
      <c r="D27" s="524"/>
      <c r="E27" s="524"/>
      <c r="F27" s="524"/>
      <c r="G27" s="524" t="s">
        <v>1079</v>
      </c>
      <c r="H27" s="510"/>
      <c r="I27" s="510"/>
      <c r="J27" s="510"/>
      <c r="K27" s="510"/>
      <c r="L27" s="510"/>
      <c r="M27" s="509"/>
      <c r="N27" s="509"/>
      <c r="O27" s="510"/>
      <c r="P27" s="510"/>
      <c r="Q27" s="510"/>
    </row>
    <row r="28" spans="1:21" s="207" customFormat="1" ht="15.75">
      <c r="A28" s="234" t="s">
        <v>1076</v>
      </c>
      <c r="B28" s="234"/>
      <c r="C28" s="529"/>
      <c r="D28" s="528"/>
      <c r="E28" s="528"/>
      <c r="F28" s="528"/>
      <c r="G28" s="529"/>
      <c r="H28" s="311"/>
      <c r="I28" s="311"/>
      <c r="J28" s="311"/>
      <c r="K28" s="311"/>
      <c r="L28" s="311"/>
      <c r="M28" s="509"/>
      <c r="N28" s="509"/>
      <c r="O28" s="311"/>
      <c r="P28" s="311"/>
      <c r="Q28" s="311"/>
    </row>
    <row r="29" spans="1:21" s="207" customFormat="1" ht="31.5" customHeight="1">
      <c r="B29" s="221"/>
      <c r="C29" s="523" t="s">
        <v>1078</v>
      </c>
      <c r="D29" s="524"/>
      <c r="E29" s="524"/>
      <c r="F29" s="524"/>
      <c r="G29" s="524" t="s">
        <v>1079</v>
      </c>
      <c r="H29" s="510"/>
      <c r="I29" s="510"/>
      <c r="J29" s="510"/>
      <c r="K29" s="510"/>
      <c r="L29" s="510"/>
      <c r="M29" s="509"/>
      <c r="N29" s="509"/>
      <c r="O29" s="510"/>
      <c r="P29" s="510"/>
      <c r="Q29" s="510"/>
    </row>
    <row r="36" spans="9:10">
      <c r="I36" s="19"/>
      <c r="J36" s="20"/>
    </row>
  </sheetData>
  <customSheetViews>
    <customSheetView guid="{CA0FB9E2-E541-4C74-BCFE-D75491869B36}" scale="95" showPageBreaks="1" printArea="1" hiddenRows="1" view="pageBreakPreview" topLeftCell="A4">
      <selection activeCell="M25" sqref="M25"/>
      <pageMargins left="0.52" right="0.18" top="0.75" bottom="0.75" header="0.3" footer="0.3"/>
      <pageSetup paperSize="9" scale="97" orientation="portrait" horizontalDpi="180" verticalDpi="180" r:id="rId1"/>
    </customSheetView>
    <customSheetView guid="{F10E3D8B-5892-420A-B023-68C6496D556B}" printArea="1" hiddenRows="1">
      <selection activeCell="A12" sqref="A12"/>
      <pageMargins left="0.52" right="0.18" top="0.75" bottom="0.75" header="0.3" footer="0.3"/>
      <pageSetup paperSize="9" orientation="portrait" horizontalDpi="180" verticalDpi="180" r:id="rId2"/>
    </customSheetView>
    <customSheetView guid="{FE7E58EF-FECC-4DF6-BB75-BA97138CB219}" printArea="1" hiddenRows="1">
      <selection activeCell="A12" sqref="A12"/>
      <pageMargins left="0.52" right="0.18" top="0.75" bottom="0.75" header="0.3" footer="0.3"/>
      <pageSetup paperSize="9" orientation="portrait" horizontalDpi="180" verticalDpi="180" r:id="rId3"/>
    </customSheetView>
    <customSheetView guid="{43136B00-66C6-4289-99D3-5EF20611F834}" scale="95" showPageBreaks="1" printArea="1" hiddenRows="1" view="pageBreakPreview">
      <selection activeCell="B20" sqref="B20"/>
      <pageMargins left="0.52" right="0.18" top="0.75" bottom="0.75" header="0.3" footer="0.3"/>
      <pageSetup paperSize="9" scale="97" orientation="portrait" horizontalDpi="180" verticalDpi="180" r:id="rId4"/>
    </customSheetView>
    <customSheetView guid="{22820B9F-10DE-4629-AF3D-4AF98A9BCEDB}" scale="95" showPageBreaks="1" printArea="1" hiddenRows="1" view="pageBreakPreview" topLeftCell="A4">
      <selection activeCell="E26" sqref="E26:E29"/>
      <pageMargins left="0.52" right="0.18" top="0.75" bottom="0.75" header="0.3" footer="0.3"/>
      <pageSetup paperSize="9" scale="97" orientation="portrait" horizontalDpi="180" verticalDpi="180" r:id="rId5"/>
    </customSheetView>
  </customSheetViews>
  <mergeCells count="15">
    <mergeCell ref="A8:F8"/>
    <mergeCell ref="A22:F22"/>
    <mergeCell ref="A23:F23"/>
    <mergeCell ref="D24:F24"/>
    <mergeCell ref="A21:F21"/>
    <mergeCell ref="A9:F9"/>
    <mergeCell ref="A3:G3"/>
    <mergeCell ref="A19:F19"/>
    <mergeCell ref="A10:F10"/>
    <mergeCell ref="A14:F14"/>
    <mergeCell ref="A15:F15"/>
    <mergeCell ref="A17:F17"/>
    <mergeCell ref="A18:F18"/>
    <mergeCell ref="A5:F5"/>
    <mergeCell ref="A6:F6"/>
  </mergeCells>
  <phoneticPr fontId="116" type="noConversion"/>
  <pageMargins left="0.52" right="0.18" top="0.75" bottom="0.75" header="0.3" footer="0.3"/>
  <pageSetup paperSize="9" scale="97" orientation="portrait" horizontalDpi="180" verticalDpi="180" r:id="rId6"/>
</worksheet>
</file>

<file path=xl/worksheets/sheet101.xml><?xml version="1.0" encoding="utf-8"?>
<worksheet xmlns="http://schemas.openxmlformats.org/spreadsheetml/2006/main" xmlns:r="http://schemas.openxmlformats.org/officeDocument/2006/relationships">
  <sheetPr codeName="Лист44"/>
  <dimension ref="A1:Q19"/>
  <sheetViews>
    <sheetView view="pageBreakPreview" zoomScale="89" zoomScaleNormal="100" zoomScaleSheetLayoutView="89" workbookViewId="0">
      <selection activeCell="J16" sqref="J16"/>
    </sheetView>
  </sheetViews>
  <sheetFormatPr defaultRowHeight="15"/>
  <cols>
    <col min="1" max="1" width="4.140625" style="28" customWidth="1"/>
    <col min="2" max="2" width="5.28515625" style="28" customWidth="1"/>
    <col min="3" max="3" width="4.85546875" style="28" customWidth="1"/>
    <col min="4" max="4" width="2.140625" style="28" bestFit="1" customWidth="1"/>
    <col min="5" max="5" width="5.28515625" style="28" customWidth="1"/>
    <col min="6" max="6" width="6.140625" style="28" customWidth="1"/>
    <col min="7" max="7" width="2.140625" style="28" customWidth="1"/>
    <col min="8" max="9" width="5" style="28" customWidth="1"/>
    <col min="10" max="10" width="32.7109375" style="28" customWidth="1"/>
    <col min="11" max="11" width="20.28515625" style="28" customWidth="1"/>
    <col min="12" max="12" width="9.140625" style="28"/>
    <col min="13" max="13" width="13.85546875" style="28" customWidth="1"/>
    <col min="14" max="16384" width="9.140625" style="28"/>
  </cols>
  <sheetData>
    <row r="1" spans="1:17" ht="15.75">
      <c r="A1" s="267"/>
      <c r="B1" s="267"/>
      <c r="C1" s="267"/>
      <c r="D1" s="267"/>
      <c r="E1" s="267"/>
      <c r="F1" s="267"/>
      <c r="G1" s="267"/>
      <c r="H1" s="267"/>
      <c r="I1" s="267"/>
      <c r="J1" s="267"/>
      <c r="K1" s="209" t="s">
        <v>982</v>
      </c>
    </row>
    <row r="2" spans="1:17" ht="15.75">
      <c r="A2" s="267"/>
      <c r="B2" s="267"/>
      <c r="C2" s="267"/>
      <c r="D2" s="267"/>
      <c r="E2" s="267"/>
      <c r="F2" s="267"/>
      <c r="G2" s="267"/>
      <c r="H2" s="267"/>
      <c r="I2" s="267"/>
      <c r="J2" s="267"/>
      <c r="K2" s="209"/>
    </row>
    <row r="3" spans="1:17" ht="64.5" customHeight="1">
      <c r="A3" s="1861" t="s">
        <v>336</v>
      </c>
      <c r="B3" s="1861"/>
      <c r="C3" s="1861"/>
      <c r="D3" s="1861"/>
      <c r="E3" s="1861"/>
      <c r="F3" s="1861"/>
      <c r="G3" s="1861"/>
      <c r="H3" s="1861"/>
      <c r="I3" s="1861"/>
      <c r="J3" s="1861"/>
      <c r="K3" s="1861"/>
    </row>
    <row r="4" spans="1:17" ht="15.75">
      <c r="A4" s="419"/>
      <c r="B4" s="419"/>
      <c r="C4" s="419"/>
      <c r="D4" s="419"/>
      <c r="E4" s="419"/>
      <c r="F4" s="419"/>
      <c r="G4" s="419"/>
      <c r="H4" s="419"/>
      <c r="I4" s="419"/>
      <c r="J4" s="419"/>
      <c r="K4" s="419"/>
    </row>
    <row r="5" spans="1:17" ht="31.5">
      <c r="A5" s="312" t="s">
        <v>1267</v>
      </c>
      <c r="B5" s="1969" t="s">
        <v>218</v>
      </c>
      <c r="C5" s="1970"/>
      <c r="D5" s="1970"/>
      <c r="E5" s="1970"/>
      <c r="F5" s="1970"/>
      <c r="G5" s="1970"/>
      <c r="H5" s="1970"/>
      <c r="I5" s="1970"/>
      <c r="J5" s="1971"/>
      <c r="K5" s="228" t="s">
        <v>90</v>
      </c>
    </row>
    <row r="6" spans="1:17" ht="15.75">
      <c r="A6" s="312">
        <v>1</v>
      </c>
      <c r="B6" s="1969">
        <v>2</v>
      </c>
      <c r="C6" s="1970"/>
      <c r="D6" s="1970"/>
      <c r="E6" s="1970"/>
      <c r="F6" s="1970"/>
      <c r="G6" s="1970"/>
      <c r="H6" s="1970"/>
      <c r="I6" s="1970"/>
      <c r="J6" s="1971"/>
      <c r="K6" s="237">
        <v>3</v>
      </c>
    </row>
    <row r="7" spans="1:17" ht="31.15" customHeight="1">
      <c r="A7" s="387">
        <v>1</v>
      </c>
      <c r="B7" s="1980" t="s">
        <v>1556</v>
      </c>
      <c r="C7" s="1980"/>
      <c r="D7" s="1980"/>
      <c r="E7" s="1980"/>
      <c r="F7" s="1980"/>
      <c r="G7" s="1980"/>
      <c r="H7" s="1980"/>
      <c r="I7" s="1980"/>
      <c r="J7" s="1981"/>
      <c r="K7" s="313"/>
    </row>
    <row r="8" spans="1:17" ht="21" customHeight="1">
      <c r="A8" s="387"/>
      <c r="B8" s="1980" t="s">
        <v>1557</v>
      </c>
      <c r="C8" s="1980"/>
      <c r="D8" s="1980"/>
      <c r="E8" s="1980"/>
      <c r="F8" s="1980"/>
      <c r="G8" s="1980"/>
      <c r="H8" s="1980"/>
      <c r="I8" s="1980"/>
      <c r="J8" s="1980"/>
      <c r="K8" s="313"/>
    </row>
    <row r="9" spans="1:17" ht="21" customHeight="1">
      <c r="A9" s="388"/>
      <c r="B9" s="316">
        <v>50</v>
      </c>
      <c r="C9" s="316" t="s">
        <v>1276</v>
      </c>
      <c r="D9" s="316" t="s">
        <v>82</v>
      </c>
      <c r="E9" s="316"/>
      <c r="F9" s="316" t="s">
        <v>1558</v>
      </c>
      <c r="G9" s="316" t="s">
        <v>82</v>
      </c>
      <c r="H9" s="316">
        <v>12</v>
      </c>
      <c r="I9" s="316" t="s">
        <v>1559</v>
      </c>
      <c r="J9" s="316"/>
      <c r="K9" s="315">
        <f>B9*E9*H9</f>
        <v>0</v>
      </c>
    </row>
    <row r="10" spans="1:17" ht="21" customHeight="1">
      <c r="A10" s="387"/>
      <c r="B10" s="1980" t="s">
        <v>1560</v>
      </c>
      <c r="C10" s="1980"/>
      <c r="D10" s="1980"/>
      <c r="E10" s="1980"/>
      <c r="F10" s="1980"/>
      <c r="G10" s="1980"/>
      <c r="H10" s="1980"/>
      <c r="I10" s="1980"/>
      <c r="J10" s="1980"/>
      <c r="K10" s="313"/>
    </row>
    <row r="11" spans="1:17" ht="21" customHeight="1">
      <c r="A11" s="388"/>
      <c r="B11" s="316">
        <v>100</v>
      </c>
      <c r="C11" s="316" t="s">
        <v>1276</v>
      </c>
      <c r="D11" s="316" t="s">
        <v>82</v>
      </c>
      <c r="E11" s="316"/>
      <c r="F11" s="316" t="s">
        <v>1558</v>
      </c>
      <c r="G11" s="316" t="s">
        <v>82</v>
      </c>
      <c r="H11" s="316">
        <v>12</v>
      </c>
      <c r="I11" s="316" t="s">
        <v>1559</v>
      </c>
      <c r="J11" s="316"/>
      <c r="K11" s="315">
        <f>B11*E11*H11</f>
        <v>0</v>
      </c>
    </row>
    <row r="12" spans="1:17" ht="28.5" customHeight="1">
      <c r="A12" s="314"/>
      <c r="B12" s="2041" t="s">
        <v>183</v>
      </c>
      <c r="C12" s="2041"/>
      <c r="D12" s="2041"/>
      <c r="E12" s="2041"/>
      <c r="F12" s="2041"/>
      <c r="G12" s="2041"/>
      <c r="H12" s="2041"/>
      <c r="I12" s="2041"/>
      <c r="J12" s="2042"/>
      <c r="K12" s="390">
        <f>K9+K11</f>
        <v>0</v>
      </c>
      <c r="N12" s="31"/>
    </row>
    <row r="13" spans="1:17" ht="15.75">
      <c r="A13" s="267"/>
      <c r="B13" s="267"/>
      <c r="C13" s="275"/>
      <c r="D13" s="267"/>
      <c r="E13" s="267"/>
      <c r="F13" s="267"/>
      <c r="G13" s="267"/>
      <c r="H13" s="267"/>
      <c r="I13" s="267"/>
      <c r="J13" s="267"/>
      <c r="K13" s="267"/>
    </row>
    <row r="14" spans="1:17" ht="15.75">
      <c r="A14" s="267"/>
      <c r="B14" s="267"/>
      <c r="C14" s="275"/>
      <c r="D14" s="267"/>
      <c r="E14" s="267"/>
      <c r="F14" s="267"/>
      <c r="G14" s="267"/>
      <c r="H14" s="267"/>
      <c r="I14" s="267"/>
      <c r="J14" s="389"/>
      <c r="K14" s="267"/>
    </row>
    <row r="15" spans="1:17" ht="15.75">
      <c r="A15" s="267"/>
      <c r="B15" s="267"/>
      <c r="C15" s="267"/>
      <c r="D15" s="267"/>
      <c r="E15" s="267"/>
      <c r="F15" s="267"/>
      <c r="G15" s="267"/>
      <c r="H15" s="267"/>
      <c r="I15" s="267"/>
      <c r="J15" s="267"/>
      <c r="K15" s="267"/>
    </row>
    <row r="16" spans="1:17" s="207" customFormat="1" ht="15.75">
      <c r="A16" s="234" t="s">
        <v>1077</v>
      </c>
      <c r="B16" s="234"/>
      <c r="C16" s="311"/>
      <c r="D16" s="311"/>
      <c r="E16" s="311"/>
      <c r="F16" s="311"/>
      <c r="G16" s="311"/>
      <c r="H16" s="311"/>
      <c r="I16" s="311"/>
      <c r="J16" s="507"/>
      <c r="K16" s="507"/>
      <c r="L16" s="311"/>
      <c r="M16" s="509"/>
      <c r="N16" s="509"/>
      <c r="O16" s="311"/>
      <c r="P16" s="311"/>
      <c r="Q16" s="311"/>
    </row>
    <row r="17" spans="1:17" s="207" customFormat="1" ht="31.5" customHeight="1">
      <c r="A17" s="221"/>
      <c r="B17" s="221"/>
      <c r="C17" s="510"/>
      <c r="D17" s="510"/>
      <c r="E17" s="510"/>
      <c r="F17" s="510"/>
      <c r="G17" s="510"/>
      <c r="H17" s="510"/>
      <c r="I17" s="510"/>
      <c r="J17" s="523" t="s">
        <v>1078</v>
      </c>
      <c r="K17" s="524" t="s">
        <v>1079</v>
      </c>
      <c r="L17" s="510"/>
      <c r="M17" s="509"/>
      <c r="N17" s="509"/>
      <c r="O17" s="510"/>
      <c r="P17" s="510"/>
      <c r="Q17" s="510"/>
    </row>
    <row r="18" spans="1:17" s="207" customFormat="1" ht="15.75">
      <c r="A18" s="234" t="s">
        <v>1076</v>
      </c>
      <c r="B18" s="234"/>
      <c r="C18" s="311"/>
      <c r="D18" s="311"/>
      <c r="E18" s="311"/>
      <c r="F18" s="311"/>
      <c r="G18" s="311"/>
      <c r="H18" s="311"/>
      <c r="I18" s="311"/>
      <c r="J18" s="529"/>
      <c r="K18" s="529"/>
      <c r="L18" s="311"/>
      <c r="M18" s="509"/>
      <c r="N18" s="509"/>
      <c r="O18" s="311"/>
      <c r="P18" s="311"/>
      <c r="Q18" s="311"/>
    </row>
    <row r="19" spans="1:17" s="207" customFormat="1" ht="31.5" customHeight="1">
      <c r="B19" s="221"/>
      <c r="C19" s="510"/>
      <c r="D19" s="510"/>
      <c r="E19" s="510"/>
      <c r="F19" s="510"/>
      <c r="G19" s="510"/>
      <c r="H19" s="510"/>
      <c r="I19" s="510"/>
      <c r="J19" s="523" t="s">
        <v>1078</v>
      </c>
      <c r="K19" s="524" t="s">
        <v>1079</v>
      </c>
      <c r="L19" s="510"/>
      <c r="M19" s="509"/>
      <c r="N19" s="509"/>
      <c r="O19" s="510"/>
      <c r="P19" s="510"/>
      <c r="Q19" s="510"/>
    </row>
  </sheetData>
  <customSheetViews>
    <customSheetView guid="{CA0FB9E2-E541-4C74-BCFE-D75491869B36}" scale="89" showPageBreaks="1" printArea="1" view="pageBreakPreview">
      <selection activeCell="O19" sqref="O19"/>
      <pageMargins left="0.35433070866141736" right="0.15748031496062992" top="0.74803149606299213" bottom="0.74803149606299213" header="0.31496062992125984" footer="0.31496062992125984"/>
      <printOptions horizontalCentered="1"/>
      <pageSetup paperSize="9" orientation="portrait" r:id="rId1"/>
    </customSheetView>
    <customSheetView guid="{F10E3D8B-5892-420A-B023-68C6496D556B}" printArea="1">
      <selection activeCell="A2" sqref="A2:K2"/>
      <pageMargins left="0.35433070866141736" right="0.15748031496062992" top="0.74803149606299213" bottom="0.74803149606299213" header="0.31496062992125984" footer="0.31496062992125984"/>
      <printOptions horizontalCentered="1"/>
      <pageSetup paperSize="9" orientation="portrait" r:id="rId2"/>
    </customSheetView>
    <customSheetView guid="{FE7E58EF-FECC-4DF6-BB75-BA97138CB219}" printArea="1">
      <selection activeCell="A2" sqref="A2:K2"/>
      <pageMargins left="0.35433070866141736" right="0.15748031496062992" top="0.74803149606299213" bottom="0.74803149606299213" header="0.31496062992125984" footer="0.31496062992125984"/>
      <printOptions horizontalCentered="1"/>
      <pageSetup paperSize="9" orientation="portrait" r:id="rId3"/>
    </customSheetView>
    <customSheetView guid="{43136B00-66C6-4289-99D3-5EF20611F834}" scale="89" showPageBreaks="1" printArea="1" view="pageBreakPreview">
      <selection activeCell="A3" sqref="A3:K3"/>
      <pageMargins left="0.35433070866141736" right="0.15748031496062992" top="0.74803149606299213" bottom="0.74803149606299213" header="0.31496062992125984" footer="0.31496062992125984"/>
      <printOptions horizontalCentered="1"/>
      <pageSetup paperSize="9" orientation="portrait" r:id="rId4"/>
    </customSheetView>
    <customSheetView guid="{22820B9F-10DE-4629-AF3D-4AF98A9BCEDB}" scale="89" showPageBreaks="1" printArea="1" view="pageBreakPreview">
      <selection activeCell="A16" sqref="A16:IV19"/>
      <pageMargins left="0.35433070866141736" right="0.15748031496062992" top="0.74803149606299213" bottom="0.74803149606299213" header="0.31496062992125984" footer="0.31496062992125984"/>
      <printOptions horizontalCentered="1"/>
      <pageSetup paperSize="9" orientation="portrait" r:id="rId5"/>
    </customSheetView>
  </customSheetViews>
  <mergeCells count="7">
    <mergeCell ref="B10:J10"/>
    <mergeCell ref="B12:J12"/>
    <mergeCell ref="B8:J8"/>
    <mergeCell ref="A3:K3"/>
    <mergeCell ref="B5:J5"/>
    <mergeCell ref="B7:J7"/>
    <mergeCell ref="B6:J6"/>
  </mergeCells>
  <phoneticPr fontId="116" type="noConversion"/>
  <printOptions horizontalCentered="1"/>
  <pageMargins left="0.35433070866141736" right="0.15748031496062992" top="0.74803149606299213" bottom="0.74803149606299213" header="0.31496062992125984" footer="0.31496062992125984"/>
  <pageSetup paperSize="9" orientation="portrait" r:id="rId6"/>
</worksheet>
</file>

<file path=xl/worksheets/sheet102.xml><?xml version="1.0" encoding="utf-8"?>
<worksheet xmlns="http://schemas.openxmlformats.org/spreadsheetml/2006/main" xmlns:r="http://schemas.openxmlformats.org/officeDocument/2006/relationships">
  <sheetPr codeName="Лист46"/>
  <dimension ref="A1:Q26"/>
  <sheetViews>
    <sheetView tabSelected="1" zoomScaleNormal="100" zoomScaleSheetLayoutView="93" workbookViewId="0">
      <selection activeCell="G29" sqref="G29"/>
    </sheetView>
  </sheetViews>
  <sheetFormatPr defaultRowHeight="15"/>
  <cols>
    <col min="1" max="1" width="4.42578125" style="26" customWidth="1"/>
    <col min="2" max="2" width="26.42578125" style="26" customWidth="1"/>
    <col min="3" max="3" width="12.7109375" style="26" bestFit="1" customWidth="1"/>
    <col min="4" max="4" width="14.28515625" style="26" customWidth="1"/>
    <col min="5" max="5" width="13.7109375" style="26" customWidth="1"/>
    <col min="6" max="6" width="13.85546875" style="26" customWidth="1"/>
    <col min="7" max="7" width="15.28515625" style="26" customWidth="1"/>
    <col min="8" max="16384" width="9.140625" style="26"/>
  </cols>
  <sheetData>
    <row r="1" spans="1:11" ht="15.75">
      <c r="A1" s="161"/>
      <c r="B1" s="161"/>
      <c r="C1" s="161"/>
      <c r="D1" s="161"/>
      <c r="E1" s="161"/>
      <c r="F1" s="161"/>
      <c r="G1" s="209" t="s">
        <v>1797</v>
      </c>
    </row>
    <row r="2" spans="1:11" ht="15.75">
      <c r="A2" s="161"/>
      <c r="B2" s="161"/>
      <c r="C2" s="161"/>
      <c r="D2" s="161"/>
      <c r="E2" s="161"/>
      <c r="F2" s="161"/>
      <c r="G2" s="209"/>
    </row>
    <row r="3" spans="1:11" ht="45.4" customHeight="1">
      <c r="A3" s="2052" t="s">
        <v>1735</v>
      </c>
      <c r="B3" s="2052"/>
      <c r="C3" s="2052"/>
      <c r="D3" s="2052"/>
      <c r="E3" s="2052"/>
      <c r="F3" s="2052"/>
      <c r="G3" s="2052"/>
    </row>
    <row r="4" spans="1:11" ht="15.75">
      <c r="A4" s="2092"/>
      <c r="B4" s="2092"/>
      <c r="C4" s="2092"/>
      <c r="D4" s="2092"/>
      <c r="E4" s="2092"/>
      <c r="F4" s="2092"/>
      <c r="G4" s="2092"/>
    </row>
    <row r="5" spans="1:11" s="1" customFormat="1" ht="15.75">
      <c r="A5" s="234" t="s">
        <v>1253</v>
      </c>
      <c r="B5" s="234"/>
      <c r="C5" s="234"/>
      <c r="D5" s="234"/>
      <c r="E5" s="234"/>
      <c r="F5" s="234"/>
      <c r="G5" s="234"/>
    </row>
    <row r="6" spans="1:11" s="1" customFormat="1" ht="15.75">
      <c r="A6" s="234"/>
      <c r="B6" s="234"/>
      <c r="C6" s="234"/>
      <c r="D6" s="234"/>
      <c r="E6" s="234"/>
      <c r="F6" s="234"/>
      <c r="G6" s="234"/>
    </row>
    <row r="7" spans="1:11" s="1" customFormat="1" ht="15.75">
      <c r="A7" s="234" t="s">
        <v>1254</v>
      </c>
      <c r="B7" s="234"/>
      <c r="C7" s="234"/>
      <c r="D7" s="234"/>
      <c r="E7" s="234"/>
      <c r="F7" s="234"/>
      <c r="G7" s="234"/>
    </row>
    <row r="8" spans="1:11" s="1" customFormat="1" ht="15.75">
      <c r="A8" s="234"/>
      <c r="B8" s="234"/>
      <c r="C8" s="234"/>
      <c r="D8" s="234"/>
      <c r="E8" s="234"/>
      <c r="F8" s="234"/>
      <c r="G8" s="234"/>
    </row>
    <row r="9" spans="1:11" s="70" customFormat="1" ht="54" customHeight="1">
      <c r="A9" s="228" t="s">
        <v>1267</v>
      </c>
      <c r="B9" s="228" t="s">
        <v>1530</v>
      </c>
      <c r="C9" s="228" t="s">
        <v>1531</v>
      </c>
      <c r="D9" s="228" t="s">
        <v>1532</v>
      </c>
      <c r="E9" s="228" t="s">
        <v>1533</v>
      </c>
      <c r="F9" s="228" t="s">
        <v>1534</v>
      </c>
      <c r="G9" s="396" t="s">
        <v>90</v>
      </c>
    </row>
    <row r="10" spans="1:11" s="70" customFormat="1" ht="31.5">
      <c r="A10" s="228">
        <v>1</v>
      </c>
      <c r="B10" s="228">
        <v>2</v>
      </c>
      <c r="C10" s="228">
        <v>3</v>
      </c>
      <c r="D10" s="228">
        <v>4</v>
      </c>
      <c r="E10" s="228">
        <v>5</v>
      </c>
      <c r="F10" s="228">
        <v>6</v>
      </c>
      <c r="G10" s="308" t="s">
        <v>1038</v>
      </c>
    </row>
    <row r="11" spans="1:11" s="70" customFormat="1" ht="15.75">
      <c r="A11" s="228">
        <v>1</v>
      </c>
      <c r="B11" s="228"/>
      <c r="C11" s="228"/>
      <c r="D11" s="228"/>
      <c r="E11" s="228"/>
      <c r="F11" s="228"/>
      <c r="G11" s="308"/>
    </row>
    <row r="12" spans="1:11" s="29" customFormat="1" ht="15.75">
      <c r="A12" s="228">
        <v>2</v>
      </c>
      <c r="B12" s="160"/>
      <c r="C12" s="396"/>
      <c r="D12" s="254"/>
      <c r="E12" s="254"/>
      <c r="F12" s="254"/>
      <c r="G12" s="397">
        <f>C12*D12*E12+F12</f>
        <v>0</v>
      </c>
    </row>
    <row r="13" spans="1:11" s="71" customFormat="1" ht="15.75">
      <c r="A13" s="2094" t="s">
        <v>183</v>
      </c>
      <c r="B13" s="2095"/>
      <c r="C13" s="2095"/>
      <c r="D13" s="2095"/>
      <c r="E13" s="2095"/>
      <c r="F13" s="2096"/>
      <c r="G13" s="398">
        <f>SUM(G12:G12)</f>
        <v>0</v>
      </c>
    </row>
    <row r="14" spans="1:11" s="71" customFormat="1" ht="18.75" customHeight="1">
      <c r="A14" s="2093"/>
      <c r="B14" s="2093"/>
      <c r="C14" s="2093"/>
      <c r="D14" s="2093"/>
      <c r="E14" s="399"/>
      <c r="F14" s="399"/>
      <c r="G14" s="400"/>
    </row>
    <row r="15" spans="1:11" ht="15.75">
      <c r="A15" s="267"/>
      <c r="B15" s="288"/>
      <c r="C15" s="267"/>
      <c r="D15" s="267"/>
      <c r="E15" s="267"/>
      <c r="F15" s="267"/>
      <c r="G15" s="401"/>
    </row>
    <row r="16" spans="1:11" ht="15.75">
      <c r="A16" s="288"/>
      <c r="B16" s="288"/>
      <c r="C16" s="288"/>
      <c r="D16" s="267"/>
      <c r="E16" s="267"/>
      <c r="F16" s="267"/>
      <c r="G16" s="267"/>
      <c r="H16" s="72"/>
      <c r="K16" s="73"/>
    </row>
    <row r="18" spans="1:17" s="207" customFormat="1" ht="15.75">
      <c r="A18" s="234" t="s">
        <v>1077</v>
      </c>
      <c r="B18" s="234"/>
      <c r="C18" s="311"/>
      <c r="D18" s="507"/>
      <c r="E18" s="311"/>
      <c r="F18" s="311"/>
      <c r="G18" s="507"/>
      <c r="H18" s="311"/>
      <c r="I18" s="311"/>
      <c r="J18" s="311"/>
      <c r="K18" s="311"/>
      <c r="L18" s="311"/>
      <c r="M18" s="509"/>
      <c r="N18" s="509"/>
      <c r="O18" s="311"/>
      <c r="P18" s="311"/>
      <c r="Q18" s="311"/>
    </row>
    <row r="19" spans="1:17" s="207" customFormat="1" ht="31.5" customHeight="1">
      <c r="A19" s="221"/>
      <c r="B19" s="221"/>
      <c r="C19" s="510"/>
      <c r="D19" s="523" t="s">
        <v>1078</v>
      </c>
      <c r="E19" s="524"/>
      <c r="F19" s="524"/>
      <c r="G19" s="524" t="s">
        <v>1079</v>
      </c>
      <c r="H19" s="510"/>
      <c r="I19" s="510"/>
      <c r="J19" s="510"/>
      <c r="K19" s="510"/>
      <c r="L19" s="510"/>
      <c r="M19" s="509"/>
      <c r="N19" s="509"/>
      <c r="O19" s="510"/>
      <c r="P19" s="510"/>
      <c r="Q19" s="510"/>
    </row>
    <row r="20" spans="1:17" s="207" customFormat="1" ht="15.75">
      <c r="A20" s="234" t="s">
        <v>1076</v>
      </c>
      <c r="B20" s="234"/>
      <c r="C20" s="311"/>
      <c r="D20" s="529"/>
      <c r="E20" s="528"/>
      <c r="F20" s="528"/>
      <c r="G20" s="529"/>
      <c r="H20" s="311"/>
      <c r="I20" s="311"/>
      <c r="J20" s="311"/>
      <c r="K20" s="311"/>
      <c r="L20" s="311"/>
      <c r="M20" s="509"/>
      <c r="N20" s="509"/>
      <c r="O20" s="311"/>
      <c r="P20" s="311"/>
      <c r="Q20" s="311"/>
    </row>
    <row r="21" spans="1:17" s="207" customFormat="1" ht="31.5" customHeight="1">
      <c r="B21" s="221"/>
      <c r="C21" s="510"/>
      <c r="D21" s="523" t="s">
        <v>1078</v>
      </c>
      <c r="E21" s="524"/>
      <c r="F21" s="524"/>
      <c r="G21" s="524" t="s">
        <v>1079</v>
      </c>
      <c r="H21" s="510"/>
      <c r="I21" s="510"/>
      <c r="J21" s="510"/>
      <c r="K21" s="510"/>
      <c r="L21" s="510"/>
      <c r="M21" s="509"/>
      <c r="N21" s="509"/>
      <c r="O21" s="510"/>
      <c r="P21" s="510"/>
      <c r="Q21" s="510"/>
    </row>
    <row r="23" spans="1:17">
      <c r="G23" s="26">
        <v>1</v>
      </c>
    </row>
    <row r="26" spans="1:17">
      <c r="G26" s="26">
        <v>1</v>
      </c>
    </row>
  </sheetData>
  <customSheetViews>
    <customSheetView guid="{CA0FB9E2-E541-4C74-BCFE-D75491869B36}" showPageBreaks="1" printArea="1">
      <selection activeCell="P21" sqref="P21"/>
      <pageMargins left="0.59055118110236227" right="0.19685039370078741" top="0.59055118110236227" bottom="0.19685039370078741" header="0.51181102362204722" footer="0.51181102362204722"/>
      <pageSetup paperSize="9" scale="88" orientation="portrait" r:id="rId1"/>
      <headerFooter differentOddEven="1" alignWithMargins="0"/>
    </customSheetView>
    <customSheetView guid="{F10E3D8B-5892-420A-B023-68C6496D556B}" showPageBreaks="1" printArea="1">
      <selection activeCell="A8" sqref="A8"/>
      <pageMargins left="0.59055118110236227" right="0.19685039370078741" top="0.59055118110236227" bottom="0.19685039370078741" header="0.51181102362204722" footer="0.51181102362204722"/>
      <pageSetup paperSize="9" scale="88" orientation="portrait" r:id="rId2"/>
      <headerFooter differentOddEven="1" alignWithMargins="0"/>
    </customSheetView>
    <customSheetView guid="{FE7E58EF-FECC-4DF6-BB75-BA97138CB219}" showPageBreaks="1" printArea="1">
      <selection activeCell="A8" sqref="A8"/>
      <pageMargins left="0.59055118110236227" right="0.19685039370078741" top="0.59055118110236227" bottom="0.19685039370078741" header="0.51181102362204722" footer="0.51181102362204722"/>
      <pageSetup paperSize="9" scale="88" orientation="portrait" r:id="rId3"/>
      <headerFooter differentOddEven="1" alignWithMargins="0"/>
    </customSheetView>
    <customSheetView guid="{43136B00-66C6-4289-99D3-5EF20611F834}" showPageBreaks="1" printArea="1">
      <selection activeCell="A18" sqref="A18:IV21"/>
      <pageMargins left="0.59055118110236227" right="0.19685039370078741" top="0.59055118110236227" bottom="0.19685039370078741" header="0.51181102362204722" footer="0.51181102362204722"/>
      <pageSetup paperSize="9" scale="88" orientation="portrait" r:id="rId4"/>
      <headerFooter differentOddEven="1" alignWithMargins="0"/>
    </customSheetView>
    <customSheetView guid="{22820B9F-10DE-4629-AF3D-4AF98A9BCEDB}" showPageBreaks="1" printArea="1">
      <selection activeCell="A18" sqref="A18:IV21"/>
      <pageMargins left="0.59055118110236227" right="0.19685039370078741" top="0.59055118110236227" bottom="0.19685039370078741" header="0.51181102362204722" footer="0.51181102362204722"/>
      <pageSetup paperSize="9" scale="88" orientation="portrait" r:id="rId5"/>
      <headerFooter differentOddEven="1" alignWithMargins="0"/>
    </customSheetView>
  </customSheetViews>
  <mergeCells count="4">
    <mergeCell ref="A3:G3"/>
    <mergeCell ref="A4:G4"/>
    <mergeCell ref="A14:D14"/>
    <mergeCell ref="A13:F13"/>
  </mergeCells>
  <phoneticPr fontId="116" type="noConversion"/>
  <pageMargins left="0.59055118110236227" right="0.19685039370078741" top="0.59055118110236227" bottom="0.19685039370078741" header="0.51181102362204722" footer="0.51181102362204722"/>
  <pageSetup paperSize="9" scale="88" orientation="portrait" r:id="rId6"/>
  <headerFooter differentOddEven="1" alignWithMargins="0"/>
</worksheet>
</file>

<file path=xl/worksheets/sheet11.xml><?xml version="1.0" encoding="utf-8"?>
<worksheet xmlns="http://schemas.openxmlformats.org/spreadsheetml/2006/main" xmlns:r="http://schemas.openxmlformats.org/officeDocument/2006/relationships">
  <sheetPr filterMode="1">
    <tabColor rgb="FFFF0000"/>
  </sheetPr>
  <dimension ref="A1:AG1102"/>
  <sheetViews>
    <sheetView topLeftCell="L33" zoomScale="112" zoomScaleNormal="112" workbookViewId="0">
      <selection activeCell="R788" sqref="R788:R789"/>
    </sheetView>
  </sheetViews>
  <sheetFormatPr defaultRowHeight="15"/>
  <sheetData>
    <row r="1" spans="1:10">
      <c r="A1" s="1546"/>
      <c r="B1" s="1547" t="s">
        <v>1845</v>
      </c>
      <c r="C1" s="1547"/>
      <c r="D1" s="1547"/>
      <c r="E1" s="1547"/>
      <c r="F1" s="1547"/>
      <c r="G1" s="1546"/>
      <c r="H1" s="1546"/>
      <c r="I1" s="1546"/>
      <c r="J1" s="1546"/>
    </row>
    <row r="2" spans="1:10">
      <c r="A2" s="1546"/>
      <c r="B2" s="1547" t="s">
        <v>2068</v>
      </c>
      <c r="C2" s="1547"/>
      <c r="D2" s="1547"/>
      <c r="E2" s="1547"/>
      <c r="F2" s="1547"/>
      <c r="G2" s="1546"/>
      <c r="H2" s="1546"/>
      <c r="I2" s="1546"/>
      <c r="J2" s="1546"/>
    </row>
    <row r="3" spans="1:10" ht="27" thickBot="1">
      <c r="A3" s="1546"/>
      <c r="B3" s="1395" t="s">
        <v>1039</v>
      </c>
      <c r="C3" s="1393"/>
      <c r="D3" s="1394"/>
      <c r="E3" s="1393"/>
      <c r="F3" s="1395" t="s">
        <v>2069</v>
      </c>
      <c r="G3" s="1391"/>
      <c r="H3" s="1391"/>
      <c r="I3" s="1391"/>
      <c r="J3" s="1391"/>
    </row>
    <row r="4" spans="1:10" ht="39">
      <c r="A4" s="1546"/>
      <c r="B4" s="1393" t="s">
        <v>1890</v>
      </c>
      <c r="C4" s="1393"/>
      <c r="D4" s="1393" t="s">
        <v>1846</v>
      </c>
      <c r="E4" s="1393"/>
      <c r="F4" s="1393" t="s">
        <v>1847</v>
      </c>
      <c r="G4" s="1391"/>
      <c r="H4" s="1391"/>
      <c r="I4" s="1391"/>
      <c r="J4" s="1391"/>
    </row>
    <row r="5" spans="1:10">
      <c r="A5" s="1546"/>
      <c r="B5" s="1392"/>
      <c r="C5" s="1391"/>
      <c r="D5" s="1391"/>
      <c r="E5" s="1391"/>
      <c r="F5" s="1391"/>
      <c r="G5" s="1391"/>
      <c r="H5" s="1391"/>
      <c r="I5" s="1391"/>
      <c r="J5" s="1391"/>
    </row>
    <row r="6" spans="1:10">
      <c r="A6" s="1546"/>
      <c r="B6" s="1391"/>
      <c r="C6" s="1391"/>
      <c r="D6" s="1391"/>
      <c r="E6" s="1391"/>
      <c r="F6" s="1391"/>
      <c r="G6" s="1391"/>
      <c r="H6" s="1391"/>
      <c r="I6" s="1391"/>
      <c r="J6" s="1391"/>
    </row>
    <row r="7" spans="1:10">
      <c r="A7" s="1546"/>
      <c r="B7" s="1391"/>
      <c r="C7" s="1391"/>
      <c r="D7" s="1391"/>
      <c r="E7" s="1391"/>
      <c r="F7" s="1391"/>
      <c r="G7" s="1391"/>
      <c r="H7" s="1391"/>
      <c r="I7" s="1391"/>
      <c r="J7" s="1391"/>
    </row>
    <row r="8" spans="1:10">
      <c r="A8" s="1546"/>
      <c r="B8" s="1391"/>
      <c r="C8" s="1391"/>
      <c r="D8" s="1391"/>
      <c r="E8" s="1391"/>
      <c r="F8" s="1391"/>
      <c r="G8" s="1391"/>
      <c r="H8" s="1391"/>
      <c r="I8" s="1391"/>
      <c r="J8" s="1391"/>
    </row>
    <row r="9" spans="1:10" ht="15.75" thickBot="1">
      <c r="A9" s="1546"/>
      <c r="B9" s="1395" t="s">
        <v>2070</v>
      </c>
      <c r="C9" s="1392"/>
      <c r="D9" s="1395">
        <v>12</v>
      </c>
      <c r="E9" s="1392"/>
      <c r="F9" s="1396">
        <v>20</v>
      </c>
      <c r="G9" s="1395">
        <v>17</v>
      </c>
      <c r="H9" s="1392" t="s">
        <v>2071</v>
      </c>
      <c r="I9" s="1391"/>
      <c r="J9" s="1391"/>
    </row>
    <row r="10" spans="1:10">
      <c r="A10" s="1546"/>
      <c r="B10" s="1392"/>
      <c r="C10" s="1391"/>
      <c r="D10" s="1391"/>
      <c r="E10" s="1391"/>
      <c r="F10" s="1391"/>
      <c r="G10" s="1391"/>
      <c r="H10" s="1391"/>
      <c r="I10" s="1391"/>
      <c r="J10" s="1391"/>
    </row>
    <row r="11" spans="1:10">
      <c r="A11" s="1546"/>
      <c r="B11" s="1392"/>
      <c r="C11" s="1391"/>
      <c r="D11" s="1391"/>
      <c r="E11" s="1391"/>
      <c r="F11" s="1391"/>
      <c r="G11" s="1391"/>
      <c r="H11" s="1391"/>
      <c r="I11" s="1391"/>
      <c r="J11" s="1391"/>
    </row>
    <row r="12" spans="1:10">
      <c r="A12" s="1546"/>
      <c r="B12" s="1391"/>
      <c r="C12" s="1391"/>
      <c r="D12" s="1391"/>
      <c r="E12" s="1391"/>
      <c r="F12" s="1391"/>
      <c r="G12" s="1391"/>
      <c r="H12" s="1391"/>
      <c r="I12" s="1391"/>
      <c r="J12" s="1391"/>
    </row>
    <row r="13" spans="1:10">
      <c r="A13" s="1546"/>
      <c r="B13" s="1391"/>
      <c r="C13" s="1391"/>
      <c r="D13" s="1391"/>
      <c r="E13" s="1391"/>
      <c r="F13" s="1391"/>
      <c r="G13" s="1391"/>
      <c r="H13" s="1391"/>
      <c r="I13" s="1391"/>
      <c r="J13" s="1391"/>
    </row>
    <row r="14" spans="1:10">
      <c r="A14" s="1546"/>
      <c r="B14" s="1391"/>
      <c r="C14" s="1391"/>
      <c r="D14" s="1391"/>
      <c r="E14" s="1391"/>
      <c r="F14" s="1391"/>
      <c r="G14" s="1391"/>
      <c r="H14" s="1391"/>
      <c r="I14" s="1391"/>
      <c r="J14" s="1391"/>
    </row>
    <row r="15" spans="1:10">
      <c r="A15" s="1546"/>
      <c r="B15" s="1391"/>
      <c r="C15" s="1391"/>
      <c r="D15" s="1391"/>
      <c r="E15" s="1391"/>
      <c r="F15" s="1391"/>
      <c r="G15" s="1391"/>
      <c r="H15" s="1391"/>
      <c r="I15" s="1391"/>
      <c r="J15" s="1391"/>
    </row>
    <row r="16" spans="1:10" ht="30">
      <c r="A16" s="1398" t="s">
        <v>2072</v>
      </c>
      <c r="B16" s="1391"/>
      <c r="C16" s="1391"/>
      <c r="D16" s="1391"/>
      <c r="E16" s="1391"/>
      <c r="F16" s="1391"/>
      <c r="G16" s="1391"/>
      <c r="H16" s="1391"/>
      <c r="I16" s="1391"/>
      <c r="J16" s="1391"/>
    </row>
    <row r="17" spans="1:6" ht="240">
      <c r="A17" s="1398" t="s">
        <v>2073</v>
      </c>
      <c r="B17" s="1391"/>
      <c r="C17" s="1391"/>
      <c r="D17" s="1391"/>
      <c r="E17" s="1391"/>
      <c r="F17" s="1391"/>
    </row>
    <row r="18" spans="1:6" ht="30">
      <c r="A18" s="1398" t="s">
        <v>2074</v>
      </c>
      <c r="B18" s="1391"/>
      <c r="C18" s="1391"/>
      <c r="D18" s="1391"/>
      <c r="E18" s="1391"/>
      <c r="F18" s="1391"/>
    </row>
    <row r="19" spans="1:6" ht="15.75" thickBot="1">
      <c r="A19" s="1391"/>
      <c r="B19" s="1391"/>
      <c r="C19" s="1391"/>
      <c r="D19" s="1391"/>
      <c r="E19" s="1391"/>
      <c r="F19" s="1391"/>
    </row>
    <row r="20" spans="1:6" ht="15.75" thickBot="1">
      <c r="A20" s="1397"/>
      <c r="B20" s="1397"/>
      <c r="C20" s="1551"/>
      <c r="D20" s="1399"/>
      <c r="E20" s="1400" t="s">
        <v>2075</v>
      </c>
      <c r="F20" s="1391"/>
    </row>
    <row r="21" spans="1:6" ht="15.75" thickBot="1">
      <c r="A21" s="1397"/>
      <c r="B21" s="1397"/>
      <c r="C21" s="1551"/>
      <c r="D21" s="1401" t="s">
        <v>1856</v>
      </c>
      <c r="E21" s="1402">
        <v>43074</v>
      </c>
      <c r="F21" s="1391"/>
    </row>
    <row r="22" spans="1:6" ht="15.75" thickBot="1">
      <c r="A22" s="1546" t="s">
        <v>2076</v>
      </c>
      <c r="B22" s="1546" t="s">
        <v>2077</v>
      </c>
      <c r="C22" s="1551"/>
      <c r="D22" s="1403" t="s">
        <v>1858</v>
      </c>
      <c r="E22" s="1404">
        <v>50323412</v>
      </c>
      <c r="F22" s="1391"/>
    </row>
    <row r="23" spans="1:6" ht="15.75" thickBot="1">
      <c r="A23" s="1546"/>
      <c r="B23" s="1546"/>
      <c r="C23" s="1551"/>
      <c r="D23" s="1403" t="s">
        <v>2078</v>
      </c>
      <c r="E23" s="1404">
        <v>2428000062</v>
      </c>
      <c r="F23" s="1391"/>
    </row>
    <row r="24" spans="1:6" ht="15.75" thickBot="1">
      <c r="A24" s="1546"/>
      <c r="B24" s="1550"/>
      <c r="C24" s="1551"/>
      <c r="D24" s="1401" t="s">
        <v>2079</v>
      </c>
      <c r="E24" s="1404">
        <v>242801001</v>
      </c>
      <c r="F24" s="1391"/>
    </row>
    <row r="25" spans="1:6" ht="141.75" thickBot="1">
      <c r="A25" s="1392" t="s">
        <v>2080</v>
      </c>
      <c r="B25" s="1406" t="s">
        <v>2081</v>
      </c>
      <c r="C25" s="1551"/>
      <c r="D25" s="1401" t="s">
        <v>2082</v>
      </c>
      <c r="E25" s="1404">
        <v>75203</v>
      </c>
      <c r="F25" s="1391"/>
    </row>
    <row r="26" spans="1:6" ht="90.75" thickBot="1">
      <c r="A26" s="1392" t="s">
        <v>2083</v>
      </c>
      <c r="B26" s="1406" t="s">
        <v>2084</v>
      </c>
      <c r="C26" s="1551"/>
      <c r="D26" s="1401" t="s">
        <v>2085</v>
      </c>
      <c r="E26" s="1404">
        <v>13</v>
      </c>
      <c r="F26" s="1391"/>
    </row>
    <row r="27" spans="1:6" ht="141.75" thickBot="1">
      <c r="A27" s="1392" t="s">
        <v>2086</v>
      </c>
      <c r="B27" s="1406" t="s">
        <v>2081</v>
      </c>
      <c r="C27" s="1551"/>
      <c r="D27" s="1548" t="s">
        <v>1862</v>
      </c>
      <c r="E27" s="1537">
        <v>4639160051</v>
      </c>
      <c r="F27" s="1391"/>
    </row>
    <row r="28" spans="1:6" ht="231" thickBot="1">
      <c r="A28" s="1392" t="s">
        <v>2087</v>
      </c>
      <c r="B28" s="1406" t="s">
        <v>2088</v>
      </c>
      <c r="C28" s="1551"/>
      <c r="D28" s="1548"/>
      <c r="E28" s="1538"/>
      <c r="F28" s="1391"/>
    </row>
    <row r="29" spans="1:6" ht="15.75" thickBot="1">
      <c r="A29" s="1546" t="s">
        <v>2089</v>
      </c>
      <c r="B29" s="1549" t="s">
        <v>2090</v>
      </c>
      <c r="C29" s="1551"/>
      <c r="D29" s="1399"/>
      <c r="E29" s="1404">
        <v>13</v>
      </c>
      <c r="F29" s="1391"/>
    </row>
    <row r="30" spans="1:6" ht="39.75" thickBot="1">
      <c r="A30" s="1546"/>
      <c r="B30" s="1550"/>
      <c r="C30" s="1551"/>
      <c r="D30" s="1401" t="s">
        <v>2091</v>
      </c>
      <c r="E30" s="1402">
        <v>43074</v>
      </c>
      <c r="F30" s="1391"/>
    </row>
    <row r="31" spans="1:6" ht="39.75" thickBot="1">
      <c r="A31" s="1392" t="s">
        <v>2092</v>
      </c>
      <c r="B31" s="1392"/>
      <c r="C31" s="1551"/>
      <c r="D31" s="1401" t="s">
        <v>1868</v>
      </c>
      <c r="E31" s="1404">
        <v>383</v>
      </c>
      <c r="F31" s="1391"/>
    </row>
    <row r="32" spans="1:6" ht="90.75" thickBot="1">
      <c r="A32" s="1392"/>
      <c r="B32" s="1392" t="s">
        <v>2093</v>
      </c>
      <c r="C32" s="1551"/>
      <c r="D32" s="1399"/>
      <c r="E32" s="1544">
        <v>6802226.8399999999</v>
      </c>
      <c r="F32" s="1545"/>
    </row>
    <row r="33" spans="1:33">
      <c r="A33" s="1391"/>
      <c r="B33" s="1391"/>
      <c r="C33" s="1551"/>
      <c r="D33" s="1391"/>
      <c r="E33" s="1391"/>
      <c r="F33" s="1391"/>
      <c r="G33" s="1391"/>
      <c r="H33" s="1391"/>
      <c r="I33" s="1391"/>
      <c r="J33" s="1391"/>
      <c r="K33" s="1391"/>
      <c r="L33" s="1391"/>
      <c r="M33" s="1391"/>
      <c r="N33" s="1391"/>
      <c r="O33" s="1391"/>
      <c r="P33" s="1391"/>
      <c r="Q33" s="1391"/>
      <c r="R33" s="1391"/>
      <c r="S33" s="1391"/>
      <c r="T33" s="1391"/>
      <c r="U33" s="1391"/>
      <c r="V33" s="1391"/>
      <c r="W33" s="1391"/>
      <c r="X33" s="1391"/>
      <c r="Y33" s="1391"/>
      <c r="Z33" s="1391"/>
      <c r="AA33" s="1391"/>
      <c r="AB33" s="1391"/>
      <c r="AC33" s="1391"/>
      <c r="AD33" s="1391"/>
      <c r="AE33" s="1391"/>
      <c r="AF33" s="1391"/>
      <c r="AG33" s="1391"/>
    </row>
    <row r="34" spans="1:33">
      <c r="A34" s="1391"/>
      <c r="B34" s="1391"/>
      <c r="C34" s="1551"/>
      <c r="D34" s="1391"/>
      <c r="E34" s="1391"/>
      <c r="F34" s="1391"/>
      <c r="G34" s="1391"/>
      <c r="H34" s="1391"/>
      <c r="I34" s="1391"/>
      <c r="J34" s="1391"/>
      <c r="K34" s="1391"/>
      <c r="L34" s="1391"/>
      <c r="M34" s="1391"/>
      <c r="N34" s="1391"/>
      <c r="O34" s="1391"/>
      <c r="P34" s="1391"/>
      <c r="Q34" s="1391"/>
      <c r="R34" s="1391"/>
      <c r="S34" s="1391"/>
      <c r="T34" s="1391"/>
      <c r="U34" s="1391"/>
      <c r="V34" s="1391"/>
      <c r="W34" s="1391"/>
      <c r="X34" s="1391"/>
      <c r="Y34" s="1391"/>
      <c r="Z34" s="1391"/>
      <c r="AA34" s="1391"/>
      <c r="AB34" s="1391"/>
      <c r="AC34" s="1391"/>
      <c r="AD34" s="1391"/>
      <c r="AE34" s="1391"/>
      <c r="AF34" s="1391"/>
      <c r="AG34" s="1391"/>
    </row>
    <row r="35" spans="1:33" ht="15.75" thickBot="1">
      <c r="A35" s="1391"/>
      <c r="B35" s="1391"/>
      <c r="C35" s="1391"/>
      <c r="D35" s="1391"/>
      <c r="E35" s="1391"/>
      <c r="F35" s="1391"/>
      <c r="G35" s="1391"/>
      <c r="H35" s="1391"/>
      <c r="I35" s="1391"/>
      <c r="J35" s="1391"/>
      <c r="K35" s="1391"/>
      <c r="L35" s="1391"/>
      <c r="M35" s="1391"/>
      <c r="N35" s="1391"/>
      <c r="O35" s="1391"/>
      <c r="P35" s="1391"/>
      <c r="Q35" s="1391"/>
      <c r="R35" s="1391"/>
      <c r="S35" s="1391"/>
      <c r="T35" s="1391"/>
      <c r="U35" s="1391"/>
      <c r="V35" s="1391"/>
      <c r="W35" s="1391"/>
      <c r="X35" s="1391"/>
      <c r="Y35" s="1391"/>
      <c r="Z35" s="1391"/>
      <c r="AA35" s="1391"/>
      <c r="AB35" s="1391"/>
      <c r="AC35" s="1391"/>
      <c r="AD35" s="1391"/>
      <c r="AE35" s="1391"/>
      <c r="AF35" s="1391"/>
      <c r="AG35" s="1391"/>
    </row>
    <row r="36" spans="1:33" ht="15.75" thickBot="1">
      <c r="A36" s="1539" t="s">
        <v>1267</v>
      </c>
      <c r="B36" s="1539" t="s">
        <v>2094</v>
      </c>
      <c r="C36" s="1541" t="s">
        <v>2095</v>
      </c>
      <c r="D36" s="1542"/>
      <c r="E36" s="1539" t="s">
        <v>2096</v>
      </c>
      <c r="F36" s="1539" t="s">
        <v>2097</v>
      </c>
      <c r="G36" s="1541" t="s">
        <v>2098</v>
      </c>
      <c r="H36" s="1552"/>
      <c r="I36" s="1552"/>
      <c r="J36" s="1552"/>
      <c r="K36" s="1542"/>
      <c r="L36" s="1541" t="s">
        <v>2099</v>
      </c>
      <c r="M36" s="1542"/>
      <c r="N36" s="1541" t="s">
        <v>2100</v>
      </c>
      <c r="O36" s="1552"/>
      <c r="P36" s="1552"/>
      <c r="Q36" s="1552"/>
      <c r="R36" s="1542"/>
      <c r="S36" s="1539" t="s">
        <v>2101</v>
      </c>
      <c r="T36" s="1541" t="s">
        <v>2102</v>
      </c>
      <c r="U36" s="1542"/>
      <c r="V36" s="1541" t="s">
        <v>2103</v>
      </c>
      <c r="W36" s="1542"/>
      <c r="X36" s="1539" t="s">
        <v>2104</v>
      </c>
      <c r="Y36" s="1539" t="s">
        <v>2105</v>
      </c>
      <c r="Z36" s="1539" t="s">
        <v>2106</v>
      </c>
      <c r="AA36" s="1539" t="s">
        <v>2107</v>
      </c>
      <c r="AB36" s="1539" t="s">
        <v>2108</v>
      </c>
      <c r="AC36" s="1539" t="s">
        <v>2109</v>
      </c>
      <c r="AD36" s="1539" t="s">
        <v>2110</v>
      </c>
      <c r="AE36" s="1539" t="s">
        <v>2111</v>
      </c>
      <c r="AF36" s="1539" t="s">
        <v>2112</v>
      </c>
      <c r="AG36" s="1539" t="s">
        <v>2113</v>
      </c>
    </row>
    <row r="37" spans="1:33" ht="15.75" thickBot="1">
      <c r="A37" s="1543"/>
      <c r="B37" s="1543"/>
      <c r="C37" s="1539" t="s">
        <v>2114</v>
      </c>
      <c r="D37" s="1539" t="s">
        <v>2115</v>
      </c>
      <c r="E37" s="1543"/>
      <c r="F37" s="1543"/>
      <c r="G37" s="1539" t="s">
        <v>2116</v>
      </c>
      <c r="H37" s="1539" t="s">
        <v>2117</v>
      </c>
      <c r="I37" s="1541" t="s">
        <v>2118</v>
      </c>
      <c r="J37" s="1542"/>
      <c r="K37" s="1539" t="s">
        <v>2119</v>
      </c>
      <c r="L37" s="1539" t="s">
        <v>2114</v>
      </c>
      <c r="M37" s="1539" t="s">
        <v>2120</v>
      </c>
      <c r="N37" s="1539" t="s">
        <v>2116</v>
      </c>
      <c r="O37" s="1539" t="s">
        <v>2117</v>
      </c>
      <c r="P37" s="1541" t="s">
        <v>2118</v>
      </c>
      <c r="Q37" s="1542"/>
      <c r="R37" s="1539" t="s">
        <v>2119</v>
      </c>
      <c r="S37" s="1543"/>
      <c r="T37" s="1539" t="s">
        <v>2121</v>
      </c>
      <c r="U37" s="1553" t="s">
        <v>2122</v>
      </c>
      <c r="V37" s="1539" t="s">
        <v>2123</v>
      </c>
      <c r="W37" s="1539" t="s">
        <v>2124</v>
      </c>
      <c r="X37" s="1543"/>
      <c r="Y37" s="1543"/>
      <c r="Z37" s="1543"/>
      <c r="AA37" s="1543"/>
      <c r="AB37" s="1543"/>
      <c r="AC37" s="1543"/>
      <c r="AD37" s="1543"/>
      <c r="AE37" s="1543"/>
      <c r="AF37" s="1543"/>
      <c r="AG37" s="1543"/>
    </row>
    <row r="38" spans="1:33" ht="15.75" thickBot="1">
      <c r="A38" s="1540"/>
      <c r="B38" s="1540"/>
      <c r="C38" s="1540"/>
      <c r="D38" s="1540"/>
      <c r="E38" s="1540"/>
      <c r="F38" s="1540"/>
      <c r="G38" s="1540"/>
      <c r="H38" s="1540"/>
      <c r="I38" s="1407" t="s">
        <v>2125</v>
      </c>
      <c r="J38" s="1407" t="s">
        <v>2126</v>
      </c>
      <c r="K38" s="1540"/>
      <c r="L38" s="1540"/>
      <c r="M38" s="1540"/>
      <c r="N38" s="1540"/>
      <c r="O38" s="1540"/>
      <c r="P38" s="1407" t="s">
        <v>2125</v>
      </c>
      <c r="Q38" s="1407" t="s">
        <v>2126</v>
      </c>
      <c r="R38" s="1540"/>
      <c r="S38" s="1540"/>
      <c r="T38" s="1540"/>
      <c r="U38" s="1554"/>
      <c r="V38" s="1540"/>
      <c r="W38" s="1540"/>
      <c r="X38" s="1540"/>
      <c r="Y38" s="1540"/>
      <c r="Z38" s="1540"/>
      <c r="AA38" s="1540"/>
      <c r="AB38" s="1540"/>
      <c r="AC38" s="1540"/>
      <c r="AD38" s="1540"/>
      <c r="AE38" s="1540"/>
      <c r="AF38" s="1540"/>
      <c r="AG38" s="1540"/>
    </row>
    <row r="39" spans="1:33" ht="15.75" thickBot="1">
      <c r="A39" s="1408">
        <v>1</v>
      </c>
      <c r="B39" s="1409">
        <v>2</v>
      </c>
      <c r="C39" s="1409">
        <v>3</v>
      </c>
      <c r="D39" s="1409">
        <v>4</v>
      </c>
      <c r="E39" s="1409">
        <v>5</v>
      </c>
      <c r="F39" s="1409">
        <v>6</v>
      </c>
      <c r="G39" s="1409">
        <v>7</v>
      </c>
      <c r="H39" s="1409">
        <v>8</v>
      </c>
      <c r="I39" s="1409">
        <v>9</v>
      </c>
      <c r="J39" s="1409">
        <v>10</v>
      </c>
      <c r="K39" s="1409">
        <v>11</v>
      </c>
      <c r="L39" s="1409">
        <v>12</v>
      </c>
      <c r="M39" s="1409">
        <v>13</v>
      </c>
      <c r="N39" s="1409">
        <v>14</v>
      </c>
      <c r="O39" s="1409">
        <v>15</v>
      </c>
      <c r="P39" s="1409">
        <v>16</v>
      </c>
      <c r="Q39" s="1409">
        <v>17</v>
      </c>
      <c r="R39" s="1409">
        <v>18</v>
      </c>
      <c r="S39" s="1409">
        <v>19</v>
      </c>
      <c r="T39" s="1409">
        <v>20</v>
      </c>
      <c r="U39" s="1409">
        <v>21</v>
      </c>
      <c r="V39" s="1409">
        <v>22</v>
      </c>
      <c r="W39" s="1409">
        <v>23</v>
      </c>
      <c r="X39" s="1409">
        <v>24</v>
      </c>
      <c r="Y39" s="1409">
        <v>25</v>
      </c>
      <c r="Z39" s="1409">
        <v>26</v>
      </c>
      <c r="AA39" s="1409">
        <v>27</v>
      </c>
      <c r="AB39" s="1409">
        <v>28</v>
      </c>
      <c r="AC39" s="1409">
        <v>29</v>
      </c>
      <c r="AD39" s="1409">
        <v>30</v>
      </c>
      <c r="AE39" s="1409">
        <v>31</v>
      </c>
      <c r="AF39" s="1409">
        <v>32</v>
      </c>
      <c r="AG39" s="1409">
        <v>33</v>
      </c>
    </row>
    <row r="40" spans="1:33" ht="24" hidden="1" customHeight="1">
      <c r="A40" s="1528">
        <v>1</v>
      </c>
      <c r="B40" s="1531">
        <v>1.7224300000000002E+35</v>
      </c>
      <c r="C40" s="1528" t="s">
        <v>2127</v>
      </c>
      <c r="D40" s="1528" t="s">
        <v>2128</v>
      </c>
      <c r="E40" s="1528">
        <v>338637.29</v>
      </c>
      <c r="F40" s="1528"/>
      <c r="G40" s="1528">
        <v>338637.29</v>
      </c>
      <c r="H40" s="1528">
        <v>338637.29</v>
      </c>
      <c r="I40" s="1528">
        <v>0</v>
      </c>
      <c r="J40" s="1528">
        <v>0</v>
      </c>
      <c r="K40" s="1528">
        <v>0</v>
      </c>
      <c r="L40" s="1528" t="s">
        <v>2129</v>
      </c>
      <c r="M40" s="1528" t="s">
        <v>2129</v>
      </c>
      <c r="N40" s="1528" t="s">
        <v>2129</v>
      </c>
      <c r="O40" s="1528" t="s">
        <v>2129</v>
      </c>
      <c r="P40" s="1528" t="s">
        <v>2129</v>
      </c>
      <c r="Q40" s="1528" t="s">
        <v>2129</v>
      </c>
      <c r="R40" s="1528" t="s">
        <v>2129</v>
      </c>
      <c r="S40" s="1410" t="s">
        <v>2130</v>
      </c>
      <c r="T40" s="1528"/>
      <c r="U40" s="1528"/>
      <c r="V40" s="1528">
        <v>1.2017</v>
      </c>
      <c r="W40" s="1528">
        <v>10.201700000000001</v>
      </c>
      <c r="X40" s="1528" t="s">
        <v>2131</v>
      </c>
      <c r="Y40" s="1528" t="s">
        <v>2132</v>
      </c>
      <c r="Z40" s="1528" t="s">
        <v>2132</v>
      </c>
      <c r="AA40" s="1528"/>
      <c r="AB40" s="1528"/>
      <c r="AC40" s="1528"/>
      <c r="AD40" s="1528" t="s">
        <v>2133</v>
      </c>
      <c r="AE40" s="1410" t="s">
        <v>2134</v>
      </c>
      <c r="AF40" s="1528"/>
      <c r="AG40" s="1528"/>
    </row>
    <row r="41" spans="1:33" ht="84.75" hidden="1" thickBot="1">
      <c r="A41" s="1530"/>
      <c r="B41" s="1532"/>
      <c r="C41" s="1530"/>
      <c r="D41" s="1529"/>
      <c r="E41" s="1529"/>
      <c r="F41" s="1529"/>
      <c r="G41" s="1529"/>
      <c r="H41" s="1529"/>
      <c r="I41" s="1529"/>
      <c r="J41" s="1529"/>
      <c r="K41" s="1529"/>
      <c r="L41" s="1529"/>
      <c r="M41" s="1529"/>
      <c r="N41" s="1529"/>
      <c r="O41" s="1529"/>
      <c r="P41" s="1529"/>
      <c r="Q41" s="1529"/>
      <c r="R41" s="1529"/>
      <c r="S41" s="1409" t="s">
        <v>2135</v>
      </c>
      <c r="T41" s="1529"/>
      <c r="U41" s="1529"/>
      <c r="V41" s="1529"/>
      <c r="W41" s="1529"/>
      <c r="X41" s="1529"/>
      <c r="Y41" s="1529"/>
      <c r="Z41" s="1529"/>
      <c r="AA41" s="1529"/>
      <c r="AB41" s="1529"/>
      <c r="AC41" s="1529"/>
      <c r="AD41" s="1529"/>
      <c r="AE41" s="1409" t="s">
        <v>2136</v>
      </c>
      <c r="AF41" s="1529"/>
      <c r="AG41" s="1529"/>
    </row>
    <row r="42" spans="1:33" ht="27" hidden="1" thickBot="1">
      <c r="A42" s="1529"/>
      <c r="B42" s="1533"/>
      <c r="C42" s="1529"/>
      <c r="D42" s="1409" t="s">
        <v>1690</v>
      </c>
      <c r="E42" s="1409" t="s">
        <v>2129</v>
      </c>
      <c r="F42" s="1409" t="s">
        <v>2129</v>
      </c>
      <c r="G42" s="1409" t="s">
        <v>2129</v>
      </c>
      <c r="H42" s="1409" t="s">
        <v>2129</v>
      </c>
      <c r="I42" s="1409" t="s">
        <v>2129</v>
      </c>
      <c r="J42" s="1409" t="s">
        <v>2129</v>
      </c>
      <c r="K42" s="1409" t="s">
        <v>2129</v>
      </c>
      <c r="L42" s="1409" t="s">
        <v>2137</v>
      </c>
      <c r="M42" s="1409">
        <v>246</v>
      </c>
      <c r="N42" s="1409">
        <v>1</v>
      </c>
      <c r="O42" s="1409">
        <v>1</v>
      </c>
      <c r="P42" s="1409"/>
      <c r="Q42" s="1409"/>
      <c r="R42" s="1409"/>
      <c r="S42" s="1409" t="s">
        <v>2129</v>
      </c>
      <c r="T42" s="1409" t="s">
        <v>2129</v>
      </c>
      <c r="U42" s="1409" t="s">
        <v>2129</v>
      </c>
      <c r="V42" s="1409" t="s">
        <v>2129</v>
      </c>
      <c r="W42" s="1409" t="s">
        <v>2129</v>
      </c>
      <c r="X42" s="1409" t="s">
        <v>2129</v>
      </c>
      <c r="Y42" s="1409" t="s">
        <v>2129</v>
      </c>
      <c r="Z42" s="1409" t="s">
        <v>2129</v>
      </c>
      <c r="AA42" s="1409" t="s">
        <v>2129</v>
      </c>
      <c r="AB42" s="1409" t="s">
        <v>2129</v>
      </c>
      <c r="AC42" s="1409" t="s">
        <v>2129</v>
      </c>
      <c r="AD42" s="1409" t="s">
        <v>2129</v>
      </c>
      <c r="AE42" s="1409" t="s">
        <v>2129</v>
      </c>
      <c r="AF42" s="1409" t="s">
        <v>2129</v>
      </c>
      <c r="AG42" s="1409" t="s">
        <v>2129</v>
      </c>
    </row>
    <row r="43" spans="1:33" ht="24" hidden="1" customHeight="1">
      <c r="A43" s="1528">
        <v>2</v>
      </c>
      <c r="B43" s="1531">
        <v>1.7224300000000002E+35</v>
      </c>
      <c r="C43" s="1528" t="s">
        <v>2138</v>
      </c>
      <c r="D43" s="1528" t="s">
        <v>2139</v>
      </c>
      <c r="E43" s="1528">
        <v>1666951.38</v>
      </c>
      <c r="F43" s="1528"/>
      <c r="G43" s="1528">
        <v>1666951.38</v>
      </c>
      <c r="H43" s="1528">
        <v>1666951.38</v>
      </c>
      <c r="I43" s="1528">
        <v>0</v>
      </c>
      <c r="J43" s="1528">
        <v>0</v>
      </c>
      <c r="K43" s="1528">
        <v>0</v>
      </c>
      <c r="L43" s="1528" t="s">
        <v>2129</v>
      </c>
      <c r="M43" s="1528" t="s">
        <v>2129</v>
      </c>
      <c r="N43" s="1528" t="s">
        <v>2129</v>
      </c>
      <c r="O43" s="1528" t="s">
        <v>2129</v>
      </c>
      <c r="P43" s="1528" t="s">
        <v>2129</v>
      </c>
      <c r="Q43" s="1528" t="s">
        <v>2129</v>
      </c>
      <c r="R43" s="1528" t="s">
        <v>2129</v>
      </c>
      <c r="S43" s="1410" t="s">
        <v>2130</v>
      </c>
      <c r="T43" s="1528"/>
      <c r="U43" s="1528"/>
      <c r="V43" s="1528">
        <v>1.2017</v>
      </c>
      <c r="W43" s="1528">
        <v>5.2016999999999998</v>
      </c>
      <c r="X43" s="1528" t="s">
        <v>2131</v>
      </c>
      <c r="Y43" s="1528" t="s">
        <v>2132</v>
      </c>
      <c r="Z43" s="1528" t="s">
        <v>2132</v>
      </c>
      <c r="AA43" s="1528"/>
      <c r="AB43" s="1528"/>
      <c r="AC43" s="1528"/>
      <c r="AD43" s="1528" t="s">
        <v>2133</v>
      </c>
      <c r="AE43" s="1410" t="s">
        <v>2134</v>
      </c>
      <c r="AF43" s="1528"/>
      <c r="AG43" s="1528"/>
    </row>
    <row r="44" spans="1:33" ht="84.75" hidden="1" thickBot="1">
      <c r="A44" s="1530"/>
      <c r="B44" s="1532"/>
      <c r="C44" s="1530"/>
      <c r="D44" s="1529"/>
      <c r="E44" s="1529"/>
      <c r="F44" s="1529"/>
      <c r="G44" s="1529"/>
      <c r="H44" s="1529"/>
      <c r="I44" s="1529"/>
      <c r="J44" s="1529"/>
      <c r="K44" s="1529"/>
      <c r="L44" s="1529"/>
      <c r="M44" s="1529"/>
      <c r="N44" s="1529"/>
      <c r="O44" s="1529"/>
      <c r="P44" s="1529"/>
      <c r="Q44" s="1529"/>
      <c r="R44" s="1529"/>
      <c r="S44" s="1409" t="s">
        <v>2140</v>
      </c>
      <c r="T44" s="1529"/>
      <c r="U44" s="1529"/>
      <c r="V44" s="1529"/>
      <c r="W44" s="1529"/>
      <c r="X44" s="1529"/>
      <c r="Y44" s="1529"/>
      <c r="Z44" s="1529"/>
      <c r="AA44" s="1529"/>
      <c r="AB44" s="1529"/>
      <c r="AC44" s="1529"/>
      <c r="AD44" s="1529"/>
      <c r="AE44" s="1409" t="s">
        <v>2136</v>
      </c>
      <c r="AF44" s="1529"/>
      <c r="AG44" s="1529"/>
    </row>
    <row r="45" spans="1:33" ht="15.75" hidden="1" thickBot="1">
      <c r="A45" s="1529"/>
      <c r="B45" s="1533"/>
      <c r="C45" s="1529"/>
      <c r="D45" s="1409" t="s">
        <v>1691</v>
      </c>
      <c r="E45" s="1409" t="s">
        <v>2129</v>
      </c>
      <c r="F45" s="1409" t="s">
        <v>2129</v>
      </c>
      <c r="G45" s="1409" t="s">
        <v>2129</v>
      </c>
      <c r="H45" s="1409" t="s">
        <v>2129</v>
      </c>
      <c r="I45" s="1409" t="s">
        <v>2129</v>
      </c>
      <c r="J45" s="1409" t="s">
        <v>2129</v>
      </c>
      <c r="K45" s="1409" t="s">
        <v>2129</v>
      </c>
      <c r="L45" s="1409" t="s">
        <v>2141</v>
      </c>
      <c r="M45" s="1409">
        <v>233</v>
      </c>
      <c r="N45" s="1409">
        <v>338.08</v>
      </c>
      <c r="O45" s="1409">
        <v>338.08</v>
      </c>
      <c r="P45" s="1409"/>
      <c r="Q45" s="1409"/>
      <c r="R45" s="1409"/>
      <c r="S45" s="1409" t="s">
        <v>2129</v>
      </c>
      <c r="T45" s="1409" t="s">
        <v>2129</v>
      </c>
      <c r="U45" s="1409" t="s">
        <v>2129</v>
      </c>
      <c r="V45" s="1409" t="s">
        <v>2129</v>
      </c>
      <c r="W45" s="1409" t="s">
        <v>2129</v>
      </c>
      <c r="X45" s="1409" t="s">
        <v>2129</v>
      </c>
      <c r="Y45" s="1409" t="s">
        <v>2129</v>
      </c>
      <c r="Z45" s="1409" t="s">
        <v>2129</v>
      </c>
      <c r="AA45" s="1409" t="s">
        <v>2129</v>
      </c>
      <c r="AB45" s="1409" t="s">
        <v>2129</v>
      </c>
      <c r="AC45" s="1409" t="s">
        <v>2129</v>
      </c>
      <c r="AD45" s="1409" t="s">
        <v>2129</v>
      </c>
      <c r="AE45" s="1409" t="s">
        <v>2129</v>
      </c>
      <c r="AF45" s="1409" t="s">
        <v>2129</v>
      </c>
      <c r="AG45" s="1409" t="s">
        <v>2129</v>
      </c>
    </row>
    <row r="46" spans="1:33" ht="24" hidden="1" customHeight="1">
      <c r="A46" s="1528">
        <v>3</v>
      </c>
      <c r="B46" s="1531">
        <v>1.7224300000000002E+35</v>
      </c>
      <c r="C46" s="1528" t="s">
        <v>2142</v>
      </c>
      <c r="D46" s="1528" t="s">
        <v>2143</v>
      </c>
      <c r="E46" s="1528">
        <v>37413.72</v>
      </c>
      <c r="F46" s="1528"/>
      <c r="G46" s="1528">
        <v>37413.72</v>
      </c>
      <c r="H46" s="1528">
        <v>37413.72</v>
      </c>
      <c r="I46" s="1528">
        <v>0</v>
      </c>
      <c r="J46" s="1528">
        <v>0</v>
      </c>
      <c r="K46" s="1528">
        <v>0</v>
      </c>
      <c r="L46" s="1528" t="s">
        <v>2129</v>
      </c>
      <c r="M46" s="1528" t="s">
        <v>2129</v>
      </c>
      <c r="N46" s="1528" t="s">
        <v>2129</v>
      </c>
      <c r="O46" s="1528" t="s">
        <v>2129</v>
      </c>
      <c r="P46" s="1528" t="s">
        <v>2129</v>
      </c>
      <c r="Q46" s="1528" t="s">
        <v>2129</v>
      </c>
      <c r="R46" s="1528" t="s">
        <v>2129</v>
      </c>
      <c r="S46" s="1410" t="s">
        <v>2130</v>
      </c>
      <c r="T46" s="1528"/>
      <c r="U46" s="1528"/>
      <c r="V46" s="1528">
        <v>1.2017</v>
      </c>
      <c r="W46" s="1528">
        <v>6.2016999999999998</v>
      </c>
      <c r="X46" s="1528" t="s">
        <v>2131</v>
      </c>
      <c r="Y46" s="1528" t="s">
        <v>2132</v>
      </c>
      <c r="Z46" s="1528" t="s">
        <v>2132</v>
      </c>
      <c r="AA46" s="1528"/>
      <c r="AB46" s="1528"/>
      <c r="AC46" s="1528"/>
      <c r="AD46" s="1528" t="s">
        <v>2133</v>
      </c>
      <c r="AE46" s="1410" t="s">
        <v>2134</v>
      </c>
      <c r="AF46" s="1528"/>
      <c r="AG46" s="1528"/>
    </row>
    <row r="47" spans="1:33" ht="84.75" hidden="1" thickBot="1">
      <c r="A47" s="1530"/>
      <c r="B47" s="1532"/>
      <c r="C47" s="1530"/>
      <c r="D47" s="1529"/>
      <c r="E47" s="1529"/>
      <c r="F47" s="1529"/>
      <c r="G47" s="1529"/>
      <c r="H47" s="1529"/>
      <c r="I47" s="1529"/>
      <c r="J47" s="1529"/>
      <c r="K47" s="1529"/>
      <c r="L47" s="1529"/>
      <c r="M47" s="1529"/>
      <c r="N47" s="1529"/>
      <c r="O47" s="1529"/>
      <c r="P47" s="1529"/>
      <c r="Q47" s="1529"/>
      <c r="R47" s="1529"/>
      <c r="S47" s="1409" t="s">
        <v>2144</v>
      </c>
      <c r="T47" s="1529"/>
      <c r="U47" s="1529"/>
      <c r="V47" s="1529"/>
      <c r="W47" s="1529"/>
      <c r="X47" s="1529"/>
      <c r="Y47" s="1529"/>
      <c r="Z47" s="1529"/>
      <c r="AA47" s="1529"/>
      <c r="AB47" s="1529"/>
      <c r="AC47" s="1529"/>
      <c r="AD47" s="1529"/>
      <c r="AE47" s="1409" t="s">
        <v>2136</v>
      </c>
      <c r="AF47" s="1529"/>
      <c r="AG47" s="1529"/>
    </row>
    <row r="48" spans="1:33" ht="27" hidden="1" thickBot="1">
      <c r="A48" s="1529"/>
      <c r="B48" s="1533"/>
      <c r="C48" s="1529"/>
      <c r="D48" s="1409" t="s">
        <v>2145</v>
      </c>
      <c r="E48" s="1409" t="s">
        <v>2129</v>
      </c>
      <c r="F48" s="1409" t="s">
        <v>2129</v>
      </c>
      <c r="G48" s="1409" t="s">
        <v>2129</v>
      </c>
      <c r="H48" s="1409" t="s">
        <v>2129</v>
      </c>
      <c r="I48" s="1409" t="s">
        <v>2129</v>
      </c>
      <c r="J48" s="1409" t="s">
        <v>2129</v>
      </c>
      <c r="K48" s="1409" t="s">
        <v>2129</v>
      </c>
      <c r="L48" s="1409" t="s">
        <v>2146</v>
      </c>
      <c r="M48" s="1409">
        <v>598</v>
      </c>
      <c r="N48" s="1409">
        <v>309</v>
      </c>
      <c r="O48" s="1409">
        <v>309</v>
      </c>
      <c r="P48" s="1409"/>
      <c r="Q48" s="1409"/>
      <c r="R48" s="1409"/>
      <c r="S48" s="1409" t="s">
        <v>2129</v>
      </c>
      <c r="T48" s="1409" t="s">
        <v>2129</v>
      </c>
      <c r="U48" s="1409" t="s">
        <v>2129</v>
      </c>
      <c r="V48" s="1409" t="s">
        <v>2129</v>
      </c>
      <c r="W48" s="1409" t="s">
        <v>2129</v>
      </c>
      <c r="X48" s="1409" t="s">
        <v>2129</v>
      </c>
      <c r="Y48" s="1409" t="s">
        <v>2129</v>
      </c>
      <c r="Z48" s="1409" t="s">
        <v>2129</v>
      </c>
      <c r="AA48" s="1409" t="s">
        <v>2129</v>
      </c>
      <c r="AB48" s="1409" t="s">
        <v>2129</v>
      </c>
      <c r="AC48" s="1409" t="s">
        <v>2129</v>
      </c>
      <c r="AD48" s="1409" t="s">
        <v>2129</v>
      </c>
      <c r="AE48" s="1409" t="s">
        <v>2129</v>
      </c>
      <c r="AF48" s="1409" t="s">
        <v>2129</v>
      </c>
      <c r="AG48" s="1409" t="s">
        <v>2129</v>
      </c>
    </row>
    <row r="49" spans="1:33" ht="24" hidden="1" customHeight="1">
      <c r="A49" s="1528">
        <v>4</v>
      </c>
      <c r="B49" s="1531">
        <v>1.7224300000000002E+35</v>
      </c>
      <c r="C49" s="1528" t="s">
        <v>2147</v>
      </c>
      <c r="D49" s="1528" t="s">
        <v>2148</v>
      </c>
      <c r="E49" s="1528">
        <v>56089.53</v>
      </c>
      <c r="F49" s="1528"/>
      <c r="G49" s="1528">
        <v>56089.53</v>
      </c>
      <c r="H49" s="1528">
        <v>56089.53</v>
      </c>
      <c r="I49" s="1528">
        <v>0</v>
      </c>
      <c r="J49" s="1528">
        <v>0</v>
      </c>
      <c r="K49" s="1528">
        <v>0</v>
      </c>
      <c r="L49" s="1528" t="s">
        <v>2129</v>
      </c>
      <c r="M49" s="1528" t="s">
        <v>2129</v>
      </c>
      <c r="N49" s="1528" t="s">
        <v>2129</v>
      </c>
      <c r="O49" s="1528" t="s">
        <v>2129</v>
      </c>
      <c r="P49" s="1528" t="s">
        <v>2129</v>
      </c>
      <c r="Q49" s="1528" t="s">
        <v>2129</v>
      </c>
      <c r="R49" s="1528" t="s">
        <v>2129</v>
      </c>
      <c r="S49" s="1410" t="s">
        <v>2149</v>
      </c>
      <c r="T49" s="1528"/>
      <c r="U49" s="1528"/>
      <c r="V49" s="1528">
        <v>1.2017</v>
      </c>
      <c r="W49" s="1528">
        <v>5.2016999999999998</v>
      </c>
      <c r="X49" s="1528" t="s">
        <v>2131</v>
      </c>
      <c r="Y49" s="1528" t="s">
        <v>2132</v>
      </c>
      <c r="Z49" s="1528" t="s">
        <v>2132</v>
      </c>
      <c r="AA49" s="1528"/>
      <c r="AB49" s="1528"/>
      <c r="AC49" s="1528"/>
      <c r="AD49" s="1528" t="s">
        <v>2133</v>
      </c>
      <c r="AE49" s="1410" t="s">
        <v>2134</v>
      </c>
      <c r="AF49" s="1528"/>
      <c r="AG49" s="1528"/>
    </row>
    <row r="50" spans="1:33" ht="84.75" hidden="1" thickBot="1">
      <c r="A50" s="1530"/>
      <c r="B50" s="1532"/>
      <c r="C50" s="1530"/>
      <c r="D50" s="1529"/>
      <c r="E50" s="1529"/>
      <c r="F50" s="1529"/>
      <c r="G50" s="1529"/>
      <c r="H50" s="1529"/>
      <c r="I50" s="1529"/>
      <c r="J50" s="1529"/>
      <c r="K50" s="1529"/>
      <c r="L50" s="1529"/>
      <c r="M50" s="1529"/>
      <c r="N50" s="1529"/>
      <c r="O50" s="1529"/>
      <c r="P50" s="1529"/>
      <c r="Q50" s="1529"/>
      <c r="R50" s="1529"/>
      <c r="S50" s="1409" t="s">
        <v>2150</v>
      </c>
      <c r="T50" s="1529"/>
      <c r="U50" s="1529"/>
      <c r="V50" s="1529"/>
      <c r="W50" s="1529"/>
      <c r="X50" s="1529"/>
      <c r="Y50" s="1529"/>
      <c r="Z50" s="1529"/>
      <c r="AA50" s="1529"/>
      <c r="AB50" s="1529"/>
      <c r="AC50" s="1529"/>
      <c r="AD50" s="1529"/>
      <c r="AE50" s="1409" t="s">
        <v>2136</v>
      </c>
      <c r="AF50" s="1529"/>
      <c r="AG50" s="1529"/>
    </row>
    <row r="51" spans="1:33" ht="18.75" hidden="1" thickBot="1">
      <c r="A51" s="1529"/>
      <c r="B51" s="1533"/>
      <c r="C51" s="1529"/>
      <c r="D51" s="1409" t="s">
        <v>2151</v>
      </c>
      <c r="E51" s="1409" t="s">
        <v>2129</v>
      </c>
      <c r="F51" s="1409" t="s">
        <v>2129</v>
      </c>
      <c r="G51" s="1409" t="s">
        <v>2129</v>
      </c>
      <c r="H51" s="1409" t="s">
        <v>2129</v>
      </c>
      <c r="I51" s="1409" t="s">
        <v>2129</v>
      </c>
      <c r="J51" s="1409" t="s">
        <v>2129</v>
      </c>
      <c r="K51" s="1409" t="s">
        <v>2129</v>
      </c>
      <c r="L51" s="1409" t="s">
        <v>2152</v>
      </c>
      <c r="M51" s="1409">
        <v>113</v>
      </c>
      <c r="N51" s="1409">
        <v>189</v>
      </c>
      <c r="O51" s="1409">
        <v>189</v>
      </c>
      <c r="P51" s="1409"/>
      <c r="Q51" s="1409"/>
      <c r="R51" s="1409"/>
      <c r="S51" s="1409" t="s">
        <v>2129</v>
      </c>
      <c r="T51" s="1409" t="s">
        <v>2129</v>
      </c>
      <c r="U51" s="1409" t="s">
        <v>2129</v>
      </c>
      <c r="V51" s="1409" t="s">
        <v>2129</v>
      </c>
      <c r="W51" s="1409" t="s">
        <v>2129</v>
      </c>
      <c r="X51" s="1409" t="s">
        <v>2129</v>
      </c>
      <c r="Y51" s="1409" t="s">
        <v>2129</v>
      </c>
      <c r="Z51" s="1409" t="s">
        <v>2129</v>
      </c>
      <c r="AA51" s="1409" t="s">
        <v>2129</v>
      </c>
      <c r="AB51" s="1409" t="s">
        <v>2129</v>
      </c>
      <c r="AC51" s="1409" t="s">
        <v>2129</v>
      </c>
      <c r="AD51" s="1409" t="s">
        <v>2129</v>
      </c>
      <c r="AE51" s="1409" t="s">
        <v>2129</v>
      </c>
      <c r="AF51" s="1409" t="s">
        <v>2129</v>
      </c>
      <c r="AG51" s="1409" t="s">
        <v>2129</v>
      </c>
    </row>
    <row r="52" spans="1:33" ht="24" hidden="1" customHeight="1">
      <c r="A52" s="1528">
        <v>5</v>
      </c>
      <c r="B52" s="1531">
        <v>1.7224300000000002E+35</v>
      </c>
      <c r="C52" s="1528" t="s">
        <v>2153</v>
      </c>
      <c r="D52" s="1528" t="s">
        <v>2154</v>
      </c>
      <c r="E52" s="1528">
        <v>42069</v>
      </c>
      <c r="F52" s="1528"/>
      <c r="G52" s="1528">
        <v>42069</v>
      </c>
      <c r="H52" s="1528">
        <v>42069</v>
      </c>
      <c r="I52" s="1528">
        <v>0</v>
      </c>
      <c r="J52" s="1528">
        <v>0</v>
      </c>
      <c r="K52" s="1528">
        <v>0</v>
      </c>
      <c r="L52" s="1528" t="s">
        <v>2129</v>
      </c>
      <c r="M52" s="1528" t="s">
        <v>2129</v>
      </c>
      <c r="N52" s="1528" t="s">
        <v>2129</v>
      </c>
      <c r="O52" s="1528" t="s">
        <v>2129</v>
      </c>
      <c r="P52" s="1528" t="s">
        <v>2129</v>
      </c>
      <c r="Q52" s="1528" t="s">
        <v>2129</v>
      </c>
      <c r="R52" s="1528" t="s">
        <v>2129</v>
      </c>
      <c r="S52" s="1410" t="s">
        <v>2130</v>
      </c>
      <c r="T52" s="1528"/>
      <c r="U52" s="1528"/>
      <c r="V52" s="1528">
        <v>1.2017</v>
      </c>
      <c r="W52" s="1528">
        <v>12.201700000000001</v>
      </c>
      <c r="X52" s="1528" t="s">
        <v>2131</v>
      </c>
      <c r="Y52" s="1528" t="s">
        <v>2132</v>
      </c>
      <c r="Z52" s="1528" t="s">
        <v>2132</v>
      </c>
      <c r="AA52" s="1528"/>
      <c r="AB52" s="1528"/>
      <c r="AC52" s="1528"/>
      <c r="AD52" s="1528"/>
      <c r="AE52" s="1528"/>
      <c r="AF52" s="1528"/>
      <c r="AG52" s="1528"/>
    </row>
    <row r="53" spans="1:33" ht="84.75" hidden="1" thickBot="1">
      <c r="A53" s="1530"/>
      <c r="B53" s="1532"/>
      <c r="C53" s="1530"/>
      <c r="D53" s="1529"/>
      <c r="E53" s="1529"/>
      <c r="F53" s="1529"/>
      <c r="G53" s="1529"/>
      <c r="H53" s="1529"/>
      <c r="I53" s="1529"/>
      <c r="J53" s="1529"/>
      <c r="K53" s="1529"/>
      <c r="L53" s="1529"/>
      <c r="M53" s="1529"/>
      <c r="N53" s="1529"/>
      <c r="O53" s="1529"/>
      <c r="P53" s="1529"/>
      <c r="Q53" s="1529"/>
      <c r="R53" s="1529"/>
      <c r="S53" s="1409" t="s">
        <v>2135</v>
      </c>
      <c r="T53" s="1529"/>
      <c r="U53" s="1529"/>
      <c r="V53" s="1529"/>
      <c r="W53" s="1529"/>
      <c r="X53" s="1529"/>
      <c r="Y53" s="1529"/>
      <c r="Z53" s="1529"/>
      <c r="AA53" s="1529"/>
      <c r="AB53" s="1529"/>
      <c r="AC53" s="1529"/>
      <c r="AD53" s="1529"/>
      <c r="AE53" s="1529"/>
      <c r="AF53" s="1529"/>
      <c r="AG53" s="1529"/>
    </row>
    <row r="54" spans="1:33" ht="27" hidden="1" thickBot="1">
      <c r="A54" s="1529"/>
      <c r="B54" s="1533"/>
      <c r="C54" s="1529"/>
      <c r="D54" s="1409" t="s">
        <v>2155</v>
      </c>
      <c r="E54" s="1409" t="s">
        <v>2129</v>
      </c>
      <c r="F54" s="1409" t="s">
        <v>2129</v>
      </c>
      <c r="G54" s="1409" t="s">
        <v>2129</v>
      </c>
      <c r="H54" s="1409" t="s">
        <v>2129</v>
      </c>
      <c r="I54" s="1409" t="s">
        <v>2129</v>
      </c>
      <c r="J54" s="1409" t="s">
        <v>2129</v>
      </c>
      <c r="K54" s="1409" t="s">
        <v>2129</v>
      </c>
      <c r="L54" s="1409" t="s">
        <v>2156</v>
      </c>
      <c r="M54" s="1409">
        <v>355</v>
      </c>
      <c r="N54" s="1409">
        <v>1560</v>
      </c>
      <c r="O54" s="1409">
        <v>1560</v>
      </c>
      <c r="P54" s="1409"/>
      <c r="Q54" s="1409"/>
      <c r="R54" s="1409"/>
      <c r="S54" s="1409" t="s">
        <v>2129</v>
      </c>
      <c r="T54" s="1409" t="s">
        <v>2129</v>
      </c>
      <c r="U54" s="1409" t="s">
        <v>2129</v>
      </c>
      <c r="V54" s="1409" t="s">
        <v>2129</v>
      </c>
      <c r="W54" s="1409" t="s">
        <v>2129</v>
      </c>
      <c r="X54" s="1409" t="s">
        <v>2129</v>
      </c>
      <c r="Y54" s="1409" t="s">
        <v>2129</v>
      </c>
      <c r="Z54" s="1409" t="s">
        <v>2129</v>
      </c>
      <c r="AA54" s="1409" t="s">
        <v>2129</v>
      </c>
      <c r="AB54" s="1409" t="s">
        <v>2129</v>
      </c>
      <c r="AC54" s="1409" t="s">
        <v>2129</v>
      </c>
      <c r="AD54" s="1409" t="s">
        <v>2129</v>
      </c>
      <c r="AE54" s="1409" t="s">
        <v>2129</v>
      </c>
      <c r="AF54" s="1409" t="s">
        <v>2129</v>
      </c>
      <c r="AG54" s="1409" t="s">
        <v>2129</v>
      </c>
    </row>
    <row r="55" spans="1:33" ht="24" hidden="1" customHeight="1">
      <c r="A55" s="1528">
        <v>6</v>
      </c>
      <c r="B55" s="1531">
        <v>1.7224300000000002E+35</v>
      </c>
      <c r="C55" s="1528" t="s">
        <v>2157</v>
      </c>
      <c r="D55" s="1528" t="s">
        <v>2158</v>
      </c>
      <c r="E55" s="1528">
        <v>38399</v>
      </c>
      <c r="F55" s="1528"/>
      <c r="G55" s="1528">
        <v>38399</v>
      </c>
      <c r="H55" s="1528">
        <v>38399</v>
      </c>
      <c r="I55" s="1528">
        <v>0</v>
      </c>
      <c r="J55" s="1528">
        <v>0</v>
      </c>
      <c r="K55" s="1528">
        <v>0</v>
      </c>
      <c r="L55" s="1528" t="s">
        <v>2129</v>
      </c>
      <c r="M55" s="1528" t="s">
        <v>2129</v>
      </c>
      <c r="N55" s="1528" t="s">
        <v>2129</v>
      </c>
      <c r="O55" s="1528" t="s">
        <v>2129</v>
      </c>
      <c r="P55" s="1528" t="s">
        <v>2129</v>
      </c>
      <c r="Q55" s="1528" t="s">
        <v>2129</v>
      </c>
      <c r="R55" s="1528" t="s">
        <v>2129</v>
      </c>
      <c r="S55" s="1410" t="s">
        <v>2130</v>
      </c>
      <c r="T55" s="1528"/>
      <c r="U55" s="1528"/>
      <c r="V55" s="1528">
        <v>1.2017</v>
      </c>
      <c r="W55" s="1528">
        <v>12.201700000000001</v>
      </c>
      <c r="X55" s="1528" t="s">
        <v>2131</v>
      </c>
      <c r="Y55" s="1528" t="s">
        <v>2132</v>
      </c>
      <c r="Z55" s="1528" t="s">
        <v>2132</v>
      </c>
      <c r="AA55" s="1528"/>
      <c r="AB55" s="1528"/>
      <c r="AC55" s="1528"/>
      <c r="AD55" s="1528"/>
      <c r="AE55" s="1528"/>
      <c r="AF55" s="1528"/>
      <c r="AG55" s="1528"/>
    </row>
    <row r="56" spans="1:33" ht="84.75" hidden="1" thickBot="1">
      <c r="A56" s="1530"/>
      <c r="B56" s="1532"/>
      <c r="C56" s="1530"/>
      <c r="D56" s="1529"/>
      <c r="E56" s="1529"/>
      <c r="F56" s="1529"/>
      <c r="G56" s="1529"/>
      <c r="H56" s="1529"/>
      <c r="I56" s="1529"/>
      <c r="J56" s="1529"/>
      <c r="K56" s="1529"/>
      <c r="L56" s="1529"/>
      <c r="M56" s="1529"/>
      <c r="N56" s="1529"/>
      <c r="O56" s="1529"/>
      <c r="P56" s="1529"/>
      <c r="Q56" s="1529"/>
      <c r="R56" s="1529"/>
      <c r="S56" s="1409" t="s">
        <v>2135</v>
      </c>
      <c r="T56" s="1529"/>
      <c r="U56" s="1529"/>
      <c r="V56" s="1529"/>
      <c r="W56" s="1529"/>
      <c r="X56" s="1529"/>
      <c r="Y56" s="1529"/>
      <c r="Z56" s="1529"/>
      <c r="AA56" s="1529"/>
      <c r="AB56" s="1529"/>
      <c r="AC56" s="1529"/>
      <c r="AD56" s="1529"/>
      <c r="AE56" s="1529"/>
      <c r="AF56" s="1529"/>
      <c r="AG56" s="1529"/>
    </row>
    <row r="57" spans="1:33" ht="27" hidden="1" thickBot="1">
      <c r="A57" s="1529"/>
      <c r="B57" s="1533"/>
      <c r="C57" s="1529"/>
      <c r="D57" s="1409" t="s">
        <v>2159</v>
      </c>
      <c r="E57" s="1409" t="s">
        <v>2129</v>
      </c>
      <c r="F57" s="1409" t="s">
        <v>2129</v>
      </c>
      <c r="G57" s="1409" t="s">
        <v>2129</v>
      </c>
      <c r="H57" s="1409" t="s">
        <v>2129</v>
      </c>
      <c r="I57" s="1409" t="s">
        <v>2129</v>
      </c>
      <c r="J57" s="1409" t="s">
        <v>2129</v>
      </c>
      <c r="K57" s="1409" t="s">
        <v>2129</v>
      </c>
      <c r="L57" s="1409" t="s">
        <v>2160</v>
      </c>
      <c r="M57" s="1409">
        <v>2543</v>
      </c>
      <c r="N57" s="1409">
        <v>256</v>
      </c>
      <c r="O57" s="1409">
        <v>256</v>
      </c>
      <c r="P57" s="1409"/>
      <c r="Q57" s="1409"/>
      <c r="R57" s="1409"/>
      <c r="S57" s="1409" t="s">
        <v>2129</v>
      </c>
      <c r="T57" s="1409" t="s">
        <v>2129</v>
      </c>
      <c r="U57" s="1409" t="s">
        <v>2129</v>
      </c>
      <c r="V57" s="1409" t="s">
        <v>2129</v>
      </c>
      <c r="W57" s="1409" t="s">
        <v>2129</v>
      </c>
      <c r="X57" s="1409" t="s">
        <v>2129</v>
      </c>
      <c r="Y57" s="1409" t="s">
        <v>2129</v>
      </c>
      <c r="Z57" s="1409" t="s">
        <v>2129</v>
      </c>
      <c r="AA57" s="1409" t="s">
        <v>2129</v>
      </c>
      <c r="AB57" s="1409" t="s">
        <v>2129</v>
      </c>
      <c r="AC57" s="1409" t="s">
        <v>2129</v>
      </c>
      <c r="AD57" s="1409" t="s">
        <v>2129</v>
      </c>
      <c r="AE57" s="1409" t="s">
        <v>2129</v>
      </c>
      <c r="AF57" s="1409" t="s">
        <v>2129</v>
      </c>
      <c r="AG57" s="1409" t="s">
        <v>2129</v>
      </c>
    </row>
    <row r="58" spans="1:33" ht="24" hidden="1" customHeight="1">
      <c r="A58" s="1528">
        <v>7</v>
      </c>
      <c r="B58" s="1531">
        <v>1.7224300000000002E+35</v>
      </c>
      <c r="C58" s="1528" t="s">
        <v>2161</v>
      </c>
      <c r="D58" s="1528" t="s">
        <v>2162</v>
      </c>
      <c r="E58" s="1528">
        <v>3370</v>
      </c>
      <c r="F58" s="1528"/>
      <c r="G58" s="1528">
        <v>3370</v>
      </c>
      <c r="H58" s="1528">
        <v>3370</v>
      </c>
      <c r="I58" s="1528">
        <v>0</v>
      </c>
      <c r="J58" s="1528">
        <v>0</v>
      </c>
      <c r="K58" s="1528">
        <v>0</v>
      </c>
      <c r="L58" s="1528" t="s">
        <v>2129</v>
      </c>
      <c r="M58" s="1528" t="s">
        <v>2129</v>
      </c>
      <c r="N58" s="1528" t="s">
        <v>2129</v>
      </c>
      <c r="O58" s="1528" t="s">
        <v>2129</v>
      </c>
      <c r="P58" s="1528" t="s">
        <v>2129</v>
      </c>
      <c r="Q58" s="1528" t="s">
        <v>2129</v>
      </c>
      <c r="R58" s="1528" t="s">
        <v>2129</v>
      </c>
      <c r="S58" s="1410" t="s">
        <v>2163</v>
      </c>
      <c r="T58" s="1528"/>
      <c r="U58" s="1528"/>
      <c r="V58" s="1528">
        <v>11.201700000000001</v>
      </c>
      <c r="W58" s="1528">
        <v>12.201700000000001</v>
      </c>
      <c r="X58" s="1528" t="s">
        <v>2131</v>
      </c>
      <c r="Y58" s="1528" t="s">
        <v>2132</v>
      </c>
      <c r="Z58" s="1528" t="s">
        <v>2132</v>
      </c>
      <c r="AA58" s="1528"/>
      <c r="AB58" s="1528"/>
      <c r="AC58" s="1528"/>
      <c r="AD58" s="1528"/>
      <c r="AE58" s="1528"/>
      <c r="AF58" s="1528"/>
      <c r="AG58" s="1528"/>
    </row>
    <row r="59" spans="1:33" ht="76.5" hidden="1" thickBot="1">
      <c r="A59" s="1530"/>
      <c r="B59" s="1532"/>
      <c r="C59" s="1530"/>
      <c r="D59" s="1529"/>
      <c r="E59" s="1529"/>
      <c r="F59" s="1529"/>
      <c r="G59" s="1529"/>
      <c r="H59" s="1529"/>
      <c r="I59" s="1529"/>
      <c r="J59" s="1529"/>
      <c r="K59" s="1529"/>
      <c r="L59" s="1529"/>
      <c r="M59" s="1529"/>
      <c r="N59" s="1529"/>
      <c r="O59" s="1529"/>
      <c r="P59" s="1529"/>
      <c r="Q59" s="1529"/>
      <c r="R59" s="1529"/>
      <c r="S59" s="1409" t="s">
        <v>2164</v>
      </c>
      <c r="T59" s="1529"/>
      <c r="U59" s="1529"/>
      <c r="V59" s="1529"/>
      <c r="W59" s="1529"/>
      <c r="X59" s="1529"/>
      <c r="Y59" s="1529"/>
      <c r="Z59" s="1529"/>
      <c r="AA59" s="1529"/>
      <c r="AB59" s="1529"/>
      <c r="AC59" s="1529"/>
      <c r="AD59" s="1529"/>
      <c r="AE59" s="1529"/>
      <c r="AF59" s="1529"/>
      <c r="AG59" s="1529"/>
    </row>
    <row r="60" spans="1:33" ht="15.75" hidden="1" thickBot="1">
      <c r="A60" s="1529"/>
      <c r="B60" s="1533"/>
      <c r="C60" s="1529"/>
      <c r="D60" s="1409" t="s">
        <v>2165</v>
      </c>
      <c r="E60" s="1409" t="s">
        <v>2129</v>
      </c>
      <c r="F60" s="1409" t="s">
        <v>2129</v>
      </c>
      <c r="G60" s="1409" t="s">
        <v>2129</v>
      </c>
      <c r="H60" s="1409" t="s">
        <v>2129</v>
      </c>
      <c r="I60" s="1409" t="s">
        <v>2129</v>
      </c>
      <c r="J60" s="1409" t="s">
        <v>2129</v>
      </c>
      <c r="K60" s="1409" t="s">
        <v>2129</v>
      </c>
      <c r="L60" s="1409" t="s">
        <v>2166</v>
      </c>
      <c r="M60" s="1409">
        <v>796</v>
      </c>
      <c r="N60" s="1409">
        <v>125</v>
      </c>
      <c r="O60" s="1409">
        <v>125</v>
      </c>
      <c r="P60" s="1409"/>
      <c r="Q60" s="1409"/>
      <c r="R60" s="1409"/>
      <c r="S60" s="1409" t="s">
        <v>2129</v>
      </c>
      <c r="T60" s="1409" t="s">
        <v>2129</v>
      </c>
      <c r="U60" s="1409" t="s">
        <v>2129</v>
      </c>
      <c r="V60" s="1409" t="s">
        <v>2129</v>
      </c>
      <c r="W60" s="1409" t="s">
        <v>2129</v>
      </c>
      <c r="X60" s="1409" t="s">
        <v>2129</v>
      </c>
      <c r="Y60" s="1409" t="s">
        <v>2129</v>
      </c>
      <c r="Z60" s="1409" t="s">
        <v>2129</v>
      </c>
      <c r="AA60" s="1409" t="s">
        <v>2129</v>
      </c>
      <c r="AB60" s="1409" t="s">
        <v>2129</v>
      </c>
      <c r="AC60" s="1409" t="s">
        <v>2129</v>
      </c>
      <c r="AD60" s="1409" t="s">
        <v>2129</v>
      </c>
      <c r="AE60" s="1409" t="s">
        <v>2129</v>
      </c>
      <c r="AF60" s="1409" t="s">
        <v>2129</v>
      </c>
      <c r="AG60" s="1409" t="s">
        <v>2129</v>
      </c>
    </row>
    <row r="61" spans="1:33" ht="24" hidden="1" customHeight="1">
      <c r="A61" s="1528">
        <v>8</v>
      </c>
      <c r="B61" s="1531">
        <v>1.7224300000000002E+35</v>
      </c>
      <c r="C61" s="1528" t="s">
        <v>2167</v>
      </c>
      <c r="D61" s="1528" t="s">
        <v>2168</v>
      </c>
      <c r="E61" s="1528">
        <v>39403</v>
      </c>
      <c r="F61" s="1528"/>
      <c r="G61" s="1528">
        <v>39403</v>
      </c>
      <c r="H61" s="1528">
        <v>39403</v>
      </c>
      <c r="I61" s="1528">
        <v>0</v>
      </c>
      <c r="J61" s="1528">
        <v>0</v>
      </c>
      <c r="K61" s="1528">
        <v>0</v>
      </c>
      <c r="L61" s="1528" t="s">
        <v>2129</v>
      </c>
      <c r="M61" s="1528" t="s">
        <v>2129</v>
      </c>
      <c r="N61" s="1528" t="s">
        <v>2129</v>
      </c>
      <c r="O61" s="1528" t="s">
        <v>2129</v>
      </c>
      <c r="P61" s="1528" t="s">
        <v>2129</v>
      </c>
      <c r="Q61" s="1528" t="s">
        <v>2129</v>
      </c>
      <c r="R61" s="1528" t="s">
        <v>2129</v>
      </c>
      <c r="S61" s="1410" t="s">
        <v>2169</v>
      </c>
      <c r="T61" s="1528"/>
      <c r="U61" s="1528"/>
      <c r="V61" s="1528">
        <v>1.2017</v>
      </c>
      <c r="W61" s="1528">
        <v>12.201700000000001</v>
      </c>
      <c r="X61" s="1528" t="s">
        <v>2131</v>
      </c>
      <c r="Y61" s="1528" t="s">
        <v>2132</v>
      </c>
      <c r="Z61" s="1528" t="s">
        <v>2132</v>
      </c>
      <c r="AA61" s="1528"/>
      <c r="AB61" s="1528"/>
      <c r="AC61" s="1528"/>
      <c r="AD61" s="1528"/>
      <c r="AE61" s="1528"/>
      <c r="AF61" s="1528"/>
      <c r="AG61" s="1528"/>
    </row>
    <row r="62" spans="1:33" ht="84.75" hidden="1" thickBot="1">
      <c r="A62" s="1530"/>
      <c r="B62" s="1532"/>
      <c r="C62" s="1530"/>
      <c r="D62" s="1529"/>
      <c r="E62" s="1529"/>
      <c r="F62" s="1529"/>
      <c r="G62" s="1529"/>
      <c r="H62" s="1529"/>
      <c r="I62" s="1529"/>
      <c r="J62" s="1529"/>
      <c r="K62" s="1529"/>
      <c r="L62" s="1529"/>
      <c r="M62" s="1529"/>
      <c r="N62" s="1529"/>
      <c r="O62" s="1529"/>
      <c r="P62" s="1529"/>
      <c r="Q62" s="1529"/>
      <c r="R62" s="1529"/>
      <c r="S62" s="1409" t="s">
        <v>2170</v>
      </c>
      <c r="T62" s="1529"/>
      <c r="U62" s="1529"/>
      <c r="V62" s="1529"/>
      <c r="W62" s="1529"/>
      <c r="X62" s="1529"/>
      <c r="Y62" s="1529"/>
      <c r="Z62" s="1529"/>
      <c r="AA62" s="1529"/>
      <c r="AB62" s="1529"/>
      <c r="AC62" s="1529"/>
      <c r="AD62" s="1529"/>
      <c r="AE62" s="1529"/>
      <c r="AF62" s="1529"/>
      <c r="AG62" s="1529"/>
    </row>
    <row r="63" spans="1:33" ht="15.75" hidden="1" thickBot="1">
      <c r="A63" s="1529"/>
      <c r="B63" s="1533"/>
      <c r="C63" s="1529"/>
      <c r="D63" s="1409" t="s">
        <v>2171</v>
      </c>
      <c r="E63" s="1409" t="s">
        <v>2129</v>
      </c>
      <c r="F63" s="1409" t="s">
        <v>2129</v>
      </c>
      <c r="G63" s="1409" t="s">
        <v>2129</v>
      </c>
      <c r="H63" s="1409" t="s">
        <v>2129</v>
      </c>
      <c r="I63" s="1409" t="s">
        <v>2129</v>
      </c>
      <c r="J63" s="1409" t="s">
        <v>2129</v>
      </c>
      <c r="K63" s="1409" t="s">
        <v>2129</v>
      </c>
      <c r="L63" s="1409" t="s">
        <v>2172</v>
      </c>
      <c r="M63" s="1409">
        <v>55</v>
      </c>
      <c r="N63" s="1409">
        <v>4004.37</v>
      </c>
      <c r="O63" s="1409">
        <v>4004.37</v>
      </c>
      <c r="P63" s="1409"/>
      <c r="Q63" s="1409"/>
      <c r="R63" s="1409"/>
      <c r="S63" s="1409" t="s">
        <v>2129</v>
      </c>
      <c r="T63" s="1409" t="s">
        <v>2129</v>
      </c>
      <c r="U63" s="1409" t="s">
        <v>2129</v>
      </c>
      <c r="V63" s="1409" t="s">
        <v>2129</v>
      </c>
      <c r="W63" s="1409" t="s">
        <v>2129</v>
      </c>
      <c r="X63" s="1409" t="s">
        <v>2129</v>
      </c>
      <c r="Y63" s="1409" t="s">
        <v>2129</v>
      </c>
      <c r="Z63" s="1409" t="s">
        <v>2129</v>
      </c>
      <c r="AA63" s="1409" t="s">
        <v>2129</v>
      </c>
      <c r="AB63" s="1409" t="s">
        <v>2129</v>
      </c>
      <c r="AC63" s="1409" t="s">
        <v>2129</v>
      </c>
      <c r="AD63" s="1409" t="s">
        <v>2129</v>
      </c>
      <c r="AE63" s="1409" t="s">
        <v>2129</v>
      </c>
      <c r="AF63" s="1409" t="s">
        <v>2129</v>
      </c>
      <c r="AG63" s="1409" t="s">
        <v>2129</v>
      </c>
    </row>
    <row r="64" spans="1:33" ht="24" hidden="1" customHeight="1">
      <c r="A64" s="1528">
        <v>9</v>
      </c>
      <c r="B64" s="1531">
        <v>1.7224300000000002E+35</v>
      </c>
      <c r="C64" s="1528" t="s">
        <v>2173</v>
      </c>
      <c r="D64" s="1528" t="s">
        <v>2174</v>
      </c>
      <c r="E64" s="1528">
        <v>28870</v>
      </c>
      <c r="F64" s="1528"/>
      <c r="G64" s="1528">
        <v>28870</v>
      </c>
      <c r="H64" s="1528">
        <v>28870</v>
      </c>
      <c r="I64" s="1528">
        <v>0</v>
      </c>
      <c r="J64" s="1528">
        <v>0</v>
      </c>
      <c r="K64" s="1528">
        <v>0</v>
      </c>
      <c r="L64" s="1528" t="s">
        <v>2129</v>
      </c>
      <c r="M64" s="1528" t="s">
        <v>2129</v>
      </c>
      <c r="N64" s="1528" t="s">
        <v>2129</v>
      </c>
      <c r="O64" s="1528" t="s">
        <v>2129</v>
      </c>
      <c r="P64" s="1528" t="s">
        <v>2129</v>
      </c>
      <c r="Q64" s="1528" t="s">
        <v>2129</v>
      </c>
      <c r="R64" s="1528" t="s">
        <v>2129</v>
      </c>
      <c r="S64" s="1410" t="s">
        <v>2163</v>
      </c>
      <c r="T64" s="1528"/>
      <c r="U64" s="1528"/>
      <c r="V64" s="1528">
        <v>6.2016999999999998</v>
      </c>
      <c r="W64" s="1528">
        <v>7.2016999999999998</v>
      </c>
      <c r="X64" s="1528" t="s">
        <v>2131</v>
      </c>
      <c r="Y64" s="1528" t="s">
        <v>2132</v>
      </c>
      <c r="Z64" s="1528" t="s">
        <v>2132</v>
      </c>
      <c r="AA64" s="1528"/>
      <c r="AB64" s="1528"/>
      <c r="AC64" s="1528"/>
      <c r="AD64" s="1528" t="s">
        <v>2133</v>
      </c>
      <c r="AE64" s="1410" t="s">
        <v>2134</v>
      </c>
      <c r="AF64" s="1528"/>
      <c r="AG64" s="1528"/>
    </row>
    <row r="65" spans="1:33" ht="84.75" hidden="1" thickBot="1">
      <c r="A65" s="1530"/>
      <c r="B65" s="1532"/>
      <c r="C65" s="1530"/>
      <c r="D65" s="1529"/>
      <c r="E65" s="1529"/>
      <c r="F65" s="1529"/>
      <c r="G65" s="1529"/>
      <c r="H65" s="1529"/>
      <c r="I65" s="1529"/>
      <c r="J65" s="1529"/>
      <c r="K65" s="1529"/>
      <c r="L65" s="1529"/>
      <c r="M65" s="1529"/>
      <c r="N65" s="1529"/>
      <c r="O65" s="1529"/>
      <c r="P65" s="1529"/>
      <c r="Q65" s="1529"/>
      <c r="R65" s="1529"/>
      <c r="S65" s="1409" t="s">
        <v>2175</v>
      </c>
      <c r="T65" s="1529"/>
      <c r="U65" s="1529"/>
      <c r="V65" s="1529"/>
      <c r="W65" s="1529"/>
      <c r="X65" s="1529"/>
      <c r="Y65" s="1529"/>
      <c r="Z65" s="1529"/>
      <c r="AA65" s="1529"/>
      <c r="AB65" s="1529"/>
      <c r="AC65" s="1529"/>
      <c r="AD65" s="1529"/>
      <c r="AE65" s="1409" t="s">
        <v>2136</v>
      </c>
      <c r="AF65" s="1529"/>
      <c r="AG65" s="1529"/>
    </row>
    <row r="66" spans="1:33" ht="35.25" hidden="1" thickBot="1">
      <c r="A66" s="1529"/>
      <c r="B66" s="1533"/>
      <c r="C66" s="1529"/>
      <c r="D66" s="1409" t="s">
        <v>2176</v>
      </c>
      <c r="E66" s="1409" t="s">
        <v>2129</v>
      </c>
      <c r="F66" s="1409" t="s">
        <v>2129</v>
      </c>
      <c r="G66" s="1409" t="s">
        <v>2129</v>
      </c>
      <c r="H66" s="1409" t="s">
        <v>2129</v>
      </c>
      <c r="I66" s="1409" t="s">
        <v>2129</v>
      </c>
      <c r="J66" s="1409" t="s">
        <v>2129</v>
      </c>
      <c r="K66" s="1409" t="s">
        <v>2129</v>
      </c>
      <c r="L66" s="1409" t="s">
        <v>2172</v>
      </c>
      <c r="M66" s="1409">
        <v>55</v>
      </c>
      <c r="N66" s="1409">
        <v>100</v>
      </c>
      <c r="O66" s="1409">
        <v>100</v>
      </c>
      <c r="P66" s="1409"/>
      <c r="Q66" s="1409"/>
      <c r="R66" s="1409"/>
      <c r="S66" s="1409" t="s">
        <v>2129</v>
      </c>
      <c r="T66" s="1409" t="s">
        <v>2129</v>
      </c>
      <c r="U66" s="1409" t="s">
        <v>2129</v>
      </c>
      <c r="V66" s="1409" t="s">
        <v>2129</v>
      </c>
      <c r="W66" s="1409" t="s">
        <v>2129</v>
      </c>
      <c r="X66" s="1409" t="s">
        <v>2129</v>
      </c>
      <c r="Y66" s="1409" t="s">
        <v>2129</v>
      </c>
      <c r="Z66" s="1409" t="s">
        <v>2129</v>
      </c>
      <c r="AA66" s="1409" t="s">
        <v>2129</v>
      </c>
      <c r="AB66" s="1409" t="s">
        <v>2129</v>
      </c>
      <c r="AC66" s="1409" t="s">
        <v>2129</v>
      </c>
      <c r="AD66" s="1409" t="s">
        <v>2129</v>
      </c>
      <c r="AE66" s="1409" t="s">
        <v>2129</v>
      </c>
      <c r="AF66" s="1409" t="s">
        <v>2129</v>
      </c>
      <c r="AG66" s="1409" t="s">
        <v>2129</v>
      </c>
    </row>
    <row r="67" spans="1:33" ht="24" hidden="1" customHeight="1">
      <c r="A67" s="1528">
        <v>10</v>
      </c>
      <c r="B67" s="1531">
        <v>1.7224300000000002E+35</v>
      </c>
      <c r="C67" s="1528" t="s">
        <v>2177</v>
      </c>
      <c r="D67" s="1528" t="s">
        <v>2178</v>
      </c>
      <c r="E67" s="1528">
        <v>72000</v>
      </c>
      <c r="F67" s="1528"/>
      <c r="G67" s="1528">
        <v>72000</v>
      </c>
      <c r="H67" s="1528">
        <v>72000</v>
      </c>
      <c r="I67" s="1528">
        <v>0</v>
      </c>
      <c r="J67" s="1528">
        <v>0</v>
      </c>
      <c r="K67" s="1528">
        <v>0</v>
      </c>
      <c r="L67" s="1528" t="s">
        <v>2129</v>
      </c>
      <c r="M67" s="1528" t="s">
        <v>2129</v>
      </c>
      <c r="N67" s="1528" t="s">
        <v>2129</v>
      </c>
      <c r="O67" s="1528" t="s">
        <v>2129</v>
      </c>
      <c r="P67" s="1528" t="s">
        <v>2129</v>
      </c>
      <c r="Q67" s="1528" t="s">
        <v>2129</v>
      </c>
      <c r="R67" s="1528" t="s">
        <v>2129</v>
      </c>
      <c r="S67" s="1410" t="s">
        <v>2130</v>
      </c>
      <c r="T67" s="1528"/>
      <c r="U67" s="1528"/>
      <c r="V67" s="1528">
        <v>1.2017</v>
      </c>
      <c r="W67" s="1528">
        <v>12.201700000000001</v>
      </c>
      <c r="X67" s="1528" t="s">
        <v>2131</v>
      </c>
      <c r="Y67" s="1528" t="s">
        <v>2132</v>
      </c>
      <c r="Z67" s="1528" t="s">
        <v>2132</v>
      </c>
      <c r="AA67" s="1528"/>
      <c r="AB67" s="1528"/>
      <c r="AC67" s="1528"/>
      <c r="AD67" s="1528"/>
      <c r="AE67" s="1528"/>
      <c r="AF67" s="1528"/>
      <c r="AG67" s="1528"/>
    </row>
    <row r="68" spans="1:33" ht="84.75" hidden="1" thickBot="1">
      <c r="A68" s="1530"/>
      <c r="B68" s="1532"/>
      <c r="C68" s="1530"/>
      <c r="D68" s="1529"/>
      <c r="E68" s="1529"/>
      <c r="F68" s="1529"/>
      <c r="G68" s="1529"/>
      <c r="H68" s="1529"/>
      <c r="I68" s="1529"/>
      <c r="J68" s="1529"/>
      <c r="K68" s="1529"/>
      <c r="L68" s="1529"/>
      <c r="M68" s="1529"/>
      <c r="N68" s="1529"/>
      <c r="O68" s="1529"/>
      <c r="P68" s="1529"/>
      <c r="Q68" s="1529"/>
      <c r="R68" s="1529"/>
      <c r="S68" s="1409" t="s">
        <v>2179</v>
      </c>
      <c r="T68" s="1529"/>
      <c r="U68" s="1529"/>
      <c r="V68" s="1529"/>
      <c r="W68" s="1529"/>
      <c r="X68" s="1529"/>
      <c r="Y68" s="1529"/>
      <c r="Z68" s="1529"/>
      <c r="AA68" s="1529"/>
      <c r="AB68" s="1529"/>
      <c r="AC68" s="1529"/>
      <c r="AD68" s="1529"/>
      <c r="AE68" s="1529"/>
      <c r="AF68" s="1529"/>
      <c r="AG68" s="1529"/>
    </row>
    <row r="69" spans="1:33" ht="43.5" hidden="1" thickBot="1">
      <c r="A69" s="1529"/>
      <c r="B69" s="1533"/>
      <c r="C69" s="1529"/>
      <c r="D69" s="1409" t="s">
        <v>2180</v>
      </c>
      <c r="E69" s="1409" t="s">
        <v>2129</v>
      </c>
      <c r="F69" s="1409" t="s">
        <v>2129</v>
      </c>
      <c r="G69" s="1409" t="s">
        <v>2129</v>
      </c>
      <c r="H69" s="1409" t="s">
        <v>2129</v>
      </c>
      <c r="I69" s="1409" t="s">
        <v>2129</v>
      </c>
      <c r="J69" s="1409" t="s">
        <v>2129</v>
      </c>
      <c r="K69" s="1409" t="s">
        <v>2129</v>
      </c>
      <c r="L69" s="1409" t="s">
        <v>2166</v>
      </c>
      <c r="M69" s="1409">
        <v>796</v>
      </c>
      <c r="N69" s="1409">
        <v>2</v>
      </c>
      <c r="O69" s="1409">
        <v>2</v>
      </c>
      <c r="P69" s="1409"/>
      <c r="Q69" s="1409"/>
      <c r="R69" s="1409"/>
      <c r="S69" s="1409" t="s">
        <v>2129</v>
      </c>
      <c r="T69" s="1409" t="s">
        <v>2129</v>
      </c>
      <c r="U69" s="1409" t="s">
        <v>2129</v>
      </c>
      <c r="V69" s="1409" t="s">
        <v>2129</v>
      </c>
      <c r="W69" s="1409" t="s">
        <v>2129</v>
      </c>
      <c r="X69" s="1409" t="s">
        <v>2129</v>
      </c>
      <c r="Y69" s="1409" t="s">
        <v>2129</v>
      </c>
      <c r="Z69" s="1409" t="s">
        <v>2129</v>
      </c>
      <c r="AA69" s="1409" t="s">
        <v>2129</v>
      </c>
      <c r="AB69" s="1409" t="s">
        <v>2129</v>
      </c>
      <c r="AC69" s="1409" t="s">
        <v>2129</v>
      </c>
      <c r="AD69" s="1409" t="s">
        <v>2129</v>
      </c>
      <c r="AE69" s="1409" t="s">
        <v>2129</v>
      </c>
      <c r="AF69" s="1409" t="s">
        <v>2129</v>
      </c>
      <c r="AG69" s="1409" t="s">
        <v>2129</v>
      </c>
    </row>
    <row r="70" spans="1:33" ht="24" hidden="1" customHeight="1">
      <c r="A70" s="1528">
        <v>11</v>
      </c>
      <c r="B70" s="1531">
        <v>1.7224300000000002E+35</v>
      </c>
      <c r="C70" s="1528" t="s">
        <v>2181</v>
      </c>
      <c r="D70" s="1528" t="s">
        <v>2182</v>
      </c>
      <c r="E70" s="1528">
        <v>15840</v>
      </c>
      <c r="F70" s="1528"/>
      <c r="G70" s="1528">
        <v>15840</v>
      </c>
      <c r="H70" s="1528">
        <v>15840</v>
      </c>
      <c r="I70" s="1528">
        <v>0</v>
      </c>
      <c r="J70" s="1528">
        <v>0</v>
      </c>
      <c r="K70" s="1528">
        <v>0</v>
      </c>
      <c r="L70" s="1528" t="s">
        <v>2129</v>
      </c>
      <c r="M70" s="1528" t="s">
        <v>2129</v>
      </c>
      <c r="N70" s="1528" t="s">
        <v>2129</v>
      </c>
      <c r="O70" s="1528" t="s">
        <v>2129</v>
      </c>
      <c r="P70" s="1528" t="s">
        <v>2129</v>
      </c>
      <c r="Q70" s="1528" t="s">
        <v>2129</v>
      </c>
      <c r="R70" s="1528" t="s">
        <v>2129</v>
      </c>
      <c r="S70" s="1410" t="s">
        <v>2163</v>
      </c>
      <c r="T70" s="1528"/>
      <c r="U70" s="1528"/>
      <c r="V70" s="1528">
        <v>3.2017000000000002</v>
      </c>
      <c r="W70" s="1528">
        <v>9.2017000000000007</v>
      </c>
      <c r="X70" s="1528" t="s">
        <v>2131</v>
      </c>
      <c r="Y70" s="1528" t="s">
        <v>2132</v>
      </c>
      <c r="Z70" s="1528" t="s">
        <v>2132</v>
      </c>
      <c r="AA70" s="1528"/>
      <c r="AB70" s="1528"/>
      <c r="AC70" s="1528"/>
      <c r="AD70" s="1528" t="s">
        <v>2133</v>
      </c>
      <c r="AE70" s="1410" t="s">
        <v>2134</v>
      </c>
      <c r="AF70" s="1528"/>
      <c r="AG70" s="1528"/>
    </row>
    <row r="71" spans="1:33" ht="93" hidden="1" thickBot="1">
      <c r="A71" s="1530"/>
      <c r="B71" s="1532"/>
      <c r="C71" s="1530"/>
      <c r="D71" s="1529"/>
      <c r="E71" s="1529"/>
      <c r="F71" s="1529"/>
      <c r="G71" s="1529"/>
      <c r="H71" s="1529"/>
      <c r="I71" s="1529"/>
      <c r="J71" s="1529"/>
      <c r="K71" s="1529"/>
      <c r="L71" s="1529"/>
      <c r="M71" s="1529"/>
      <c r="N71" s="1529"/>
      <c r="O71" s="1529"/>
      <c r="P71" s="1529"/>
      <c r="Q71" s="1529"/>
      <c r="R71" s="1529"/>
      <c r="S71" s="1409" t="s">
        <v>2183</v>
      </c>
      <c r="T71" s="1529"/>
      <c r="U71" s="1529"/>
      <c r="V71" s="1529"/>
      <c r="W71" s="1529"/>
      <c r="X71" s="1529"/>
      <c r="Y71" s="1529"/>
      <c r="Z71" s="1529"/>
      <c r="AA71" s="1529"/>
      <c r="AB71" s="1529"/>
      <c r="AC71" s="1529"/>
      <c r="AD71" s="1529"/>
      <c r="AE71" s="1409" t="s">
        <v>2136</v>
      </c>
      <c r="AF71" s="1529"/>
      <c r="AG71" s="1529"/>
    </row>
    <row r="72" spans="1:33" ht="18.75" hidden="1" thickBot="1">
      <c r="A72" s="1529"/>
      <c r="B72" s="1533"/>
      <c r="C72" s="1529"/>
      <c r="D72" s="1409" t="s">
        <v>2182</v>
      </c>
      <c r="E72" s="1409" t="s">
        <v>2129</v>
      </c>
      <c r="F72" s="1409" t="s">
        <v>2129</v>
      </c>
      <c r="G72" s="1409" t="s">
        <v>2129</v>
      </c>
      <c r="H72" s="1409" t="s">
        <v>2129</v>
      </c>
      <c r="I72" s="1409" t="s">
        <v>2129</v>
      </c>
      <c r="J72" s="1409" t="s">
        <v>2129</v>
      </c>
      <c r="K72" s="1409" t="s">
        <v>2129</v>
      </c>
      <c r="L72" s="1409" t="s">
        <v>2166</v>
      </c>
      <c r="M72" s="1409">
        <v>796</v>
      </c>
      <c r="N72" s="1409">
        <v>1</v>
      </c>
      <c r="O72" s="1409">
        <v>1</v>
      </c>
      <c r="P72" s="1409"/>
      <c r="Q72" s="1409"/>
      <c r="R72" s="1409"/>
      <c r="S72" s="1409" t="s">
        <v>2129</v>
      </c>
      <c r="T72" s="1409" t="s">
        <v>2129</v>
      </c>
      <c r="U72" s="1409" t="s">
        <v>2129</v>
      </c>
      <c r="V72" s="1409" t="s">
        <v>2129</v>
      </c>
      <c r="W72" s="1409" t="s">
        <v>2129</v>
      </c>
      <c r="X72" s="1409" t="s">
        <v>2129</v>
      </c>
      <c r="Y72" s="1409" t="s">
        <v>2129</v>
      </c>
      <c r="Z72" s="1409" t="s">
        <v>2129</v>
      </c>
      <c r="AA72" s="1409" t="s">
        <v>2129</v>
      </c>
      <c r="AB72" s="1409" t="s">
        <v>2129</v>
      </c>
      <c r="AC72" s="1409" t="s">
        <v>2129</v>
      </c>
      <c r="AD72" s="1409" t="s">
        <v>2129</v>
      </c>
      <c r="AE72" s="1409" t="s">
        <v>2129</v>
      </c>
      <c r="AF72" s="1409" t="s">
        <v>2129</v>
      </c>
      <c r="AG72" s="1409" t="s">
        <v>2129</v>
      </c>
    </row>
    <row r="73" spans="1:33" ht="24" hidden="1" customHeight="1">
      <c r="A73" s="1528">
        <v>12</v>
      </c>
      <c r="B73" s="1531">
        <v>1.7224300000000002E+35</v>
      </c>
      <c r="C73" s="1528" t="s">
        <v>2184</v>
      </c>
      <c r="D73" s="1528" t="s">
        <v>2185</v>
      </c>
      <c r="E73" s="1528">
        <v>5011</v>
      </c>
      <c r="F73" s="1528"/>
      <c r="G73" s="1528">
        <v>5011</v>
      </c>
      <c r="H73" s="1528">
        <v>5011</v>
      </c>
      <c r="I73" s="1528">
        <v>0</v>
      </c>
      <c r="J73" s="1528">
        <v>0</v>
      </c>
      <c r="K73" s="1528">
        <v>0</v>
      </c>
      <c r="L73" s="1528" t="s">
        <v>2129</v>
      </c>
      <c r="M73" s="1528" t="s">
        <v>2129</v>
      </c>
      <c r="N73" s="1528" t="s">
        <v>2129</v>
      </c>
      <c r="O73" s="1528" t="s">
        <v>2129</v>
      </c>
      <c r="P73" s="1528" t="s">
        <v>2129</v>
      </c>
      <c r="Q73" s="1528" t="s">
        <v>2129</v>
      </c>
      <c r="R73" s="1528" t="s">
        <v>2129</v>
      </c>
      <c r="S73" s="1410" t="s">
        <v>2163</v>
      </c>
      <c r="T73" s="1528"/>
      <c r="U73" s="1528"/>
      <c r="V73" s="1528">
        <v>3.2017000000000002</v>
      </c>
      <c r="W73" s="1528">
        <v>9.2017000000000007</v>
      </c>
      <c r="X73" s="1528" t="s">
        <v>2131</v>
      </c>
      <c r="Y73" s="1528" t="s">
        <v>2132</v>
      </c>
      <c r="Z73" s="1528" t="s">
        <v>2132</v>
      </c>
      <c r="AA73" s="1528"/>
      <c r="AB73" s="1528"/>
      <c r="AC73" s="1528"/>
      <c r="AD73" s="1528" t="s">
        <v>2133</v>
      </c>
      <c r="AE73" s="1410" t="s">
        <v>2134</v>
      </c>
      <c r="AF73" s="1528"/>
      <c r="AG73" s="1528"/>
    </row>
    <row r="74" spans="1:33" ht="84.75" hidden="1" thickBot="1">
      <c r="A74" s="1530"/>
      <c r="B74" s="1532"/>
      <c r="C74" s="1530"/>
      <c r="D74" s="1529"/>
      <c r="E74" s="1529"/>
      <c r="F74" s="1529"/>
      <c r="G74" s="1529"/>
      <c r="H74" s="1529"/>
      <c r="I74" s="1529"/>
      <c r="J74" s="1529"/>
      <c r="K74" s="1529"/>
      <c r="L74" s="1529"/>
      <c r="M74" s="1529"/>
      <c r="N74" s="1529"/>
      <c r="O74" s="1529"/>
      <c r="P74" s="1529"/>
      <c r="Q74" s="1529"/>
      <c r="R74" s="1529"/>
      <c r="S74" s="1409" t="s">
        <v>2186</v>
      </c>
      <c r="T74" s="1529"/>
      <c r="U74" s="1529"/>
      <c r="V74" s="1529"/>
      <c r="W74" s="1529"/>
      <c r="X74" s="1529"/>
      <c r="Y74" s="1529"/>
      <c r="Z74" s="1529"/>
      <c r="AA74" s="1529"/>
      <c r="AB74" s="1529"/>
      <c r="AC74" s="1529"/>
      <c r="AD74" s="1529"/>
      <c r="AE74" s="1409" t="s">
        <v>2136</v>
      </c>
      <c r="AF74" s="1529"/>
      <c r="AG74" s="1529"/>
    </row>
    <row r="75" spans="1:33" ht="27" hidden="1" thickBot="1">
      <c r="A75" s="1529"/>
      <c r="B75" s="1533"/>
      <c r="C75" s="1529"/>
      <c r="D75" s="1409" t="s">
        <v>2185</v>
      </c>
      <c r="E75" s="1409" t="s">
        <v>2129</v>
      </c>
      <c r="F75" s="1409" t="s">
        <v>2129</v>
      </c>
      <c r="G75" s="1409" t="s">
        <v>2129</v>
      </c>
      <c r="H75" s="1409" t="s">
        <v>2129</v>
      </c>
      <c r="I75" s="1409" t="s">
        <v>2129</v>
      </c>
      <c r="J75" s="1409" t="s">
        <v>2129</v>
      </c>
      <c r="K75" s="1409" t="s">
        <v>2129</v>
      </c>
      <c r="L75" s="1409" t="s">
        <v>2166</v>
      </c>
      <c r="M75" s="1409">
        <v>796</v>
      </c>
      <c r="N75" s="1409">
        <v>5</v>
      </c>
      <c r="O75" s="1409">
        <v>5</v>
      </c>
      <c r="P75" s="1409"/>
      <c r="Q75" s="1409"/>
      <c r="R75" s="1409"/>
      <c r="S75" s="1409" t="s">
        <v>2129</v>
      </c>
      <c r="T75" s="1409" t="s">
        <v>2129</v>
      </c>
      <c r="U75" s="1409" t="s">
        <v>2129</v>
      </c>
      <c r="V75" s="1409" t="s">
        <v>2129</v>
      </c>
      <c r="W75" s="1409" t="s">
        <v>2129</v>
      </c>
      <c r="X75" s="1409" t="s">
        <v>2129</v>
      </c>
      <c r="Y75" s="1409" t="s">
        <v>2129</v>
      </c>
      <c r="Z75" s="1409" t="s">
        <v>2129</v>
      </c>
      <c r="AA75" s="1409" t="s">
        <v>2129</v>
      </c>
      <c r="AB75" s="1409" t="s">
        <v>2129</v>
      </c>
      <c r="AC75" s="1409" t="s">
        <v>2129</v>
      </c>
      <c r="AD75" s="1409" t="s">
        <v>2129</v>
      </c>
      <c r="AE75" s="1409" t="s">
        <v>2129</v>
      </c>
      <c r="AF75" s="1409" t="s">
        <v>2129</v>
      </c>
      <c r="AG75" s="1409" t="s">
        <v>2129</v>
      </c>
    </row>
    <row r="76" spans="1:33" ht="24" hidden="1" customHeight="1">
      <c r="A76" s="1528">
        <v>13</v>
      </c>
      <c r="B76" s="1531">
        <v>1.7224300000000002E+35</v>
      </c>
      <c r="C76" s="1528" t="s">
        <v>2187</v>
      </c>
      <c r="D76" s="1528" t="s">
        <v>2188</v>
      </c>
      <c r="E76" s="1528">
        <v>1418.52</v>
      </c>
      <c r="F76" s="1528"/>
      <c r="G76" s="1528">
        <v>1418.52</v>
      </c>
      <c r="H76" s="1528">
        <v>1418.52</v>
      </c>
      <c r="I76" s="1528">
        <v>0</v>
      </c>
      <c r="J76" s="1528">
        <v>0</v>
      </c>
      <c r="K76" s="1528">
        <v>0</v>
      </c>
      <c r="L76" s="1528" t="s">
        <v>2129</v>
      </c>
      <c r="M76" s="1528" t="s">
        <v>2129</v>
      </c>
      <c r="N76" s="1528" t="s">
        <v>2129</v>
      </c>
      <c r="O76" s="1528" t="s">
        <v>2129</v>
      </c>
      <c r="P76" s="1528" t="s">
        <v>2129</v>
      </c>
      <c r="Q76" s="1528" t="s">
        <v>2129</v>
      </c>
      <c r="R76" s="1528" t="s">
        <v>2129</v>
      </c>
      <c r="S76" s="1410" t="s">
        <v>2169</v>
      </c>
      <c r="T76" s="1528"/>
      <c r="U76" s="1528"/>
      <c r="V76" s="1528">
        <v>4.2016999999999998</v>
      </c>
      <c r="W76" s="1528">
        <v>12.201700000000001</v>
      </c>
      <c r="X76" s="1528" t="s">
        <v>2131</v>
      </c>
      <c r="Y76" s="1528" t="s">
        <v>2132</v>
      </c>
      <c r="Z76" s="1528" t="s">
        <v>2132</v>
      </c>
      <c r="AA76" s="1528"/>
      <c r="AB76" s="1528"/>
      <c r="AC76" s="1528"/>
      <c r="AD76" s="1528"/>
      <c r="AE76" s="1410" t="s">
        <v>2134</v>
      </c>
      <c r="AF76" s="1528"/>
      <c r="AG76" s="1528"/>
    </row>
    <row r="77" spans="1:33" ht="93" hidden="1" thickBot="1">
      <c r="A77" s="1530"/>
      <c r="B77" s="1532"/>
      <c r="C77" s="1530"/>
      <c r="D77" s="1529"/>
      <c r="E77" s="1529"/>
      <c r="F77" s="1529"/>
      <c r="G77" s="1529"/>
      <c r="H77" s="1529"/>
      <c r="I77" s="1529"/>
      <c r="J77" s="1529"/>
      <c r="K77" s="1529"/>
      <c r="L77" s="1529"/>
      <c r="M77" s="1529"/>
      <c r="N77" s="1529"/>
      <c r="O77" s="1529"/>
      <c r="P77" s="1529"/>
      <c r="Q77" s="1529"/>
      <c r="R77" s="1529"/>
      <c r="S77" s="1409" t="s">
        <v>2189</v>
      </c>
      <c r="T77" s="1529"/>
      <c r="U77" s="1529"/>
      <c r="V77" s="1529"/>
      <c r="W77" s="1529"/>
      <c r="X77" s="1529"/>
      <c r="Y77" s="1529"/>
      <c r="Z77" s="1529"/>
      <c r="AA77" s="1529"/>
      <c r="AB77" s="1529"/>
      <c r="AC77" s="1529"/>
      <c r="AD77" s="1529"/>
      <c r="AE77" s="1409" t="s">
        <v>2136</v>
      </c>
      <c r="AF77" s="1529"/>
      <c r="AG77" s="1529"/>
    </row>
    <row r="78" spans="1:33" ht="27" hidden="1" thickBot="1">
      <c r="A78" s="1529"/>
      <c r="B78" s="1533"/>
      <c r="C78" s="1529"/>
      <c r="D78" s="1409" t="s">
        <v>2190</v>
      </c>
      <c r="E78" s="1409" t="s">
        <v>2129</v>
      </c>
      <c r="F78" s="1409" t="s">
        <v>2129</v>
      </c>
      <c r="G78" s="1409" t="s">
        <v>2129</v>
      </c>
      <c r="H78" s="1409" t="s">
        <v>2129</v>
      </c>
      <c r="I78" s="1409" t="s">
        <v>2129</v>
      </c>
      <c r="J78" s="1409" t="s">
        <v>2129</v>
      </c>
      <c r="K78" s="1409" t="s">
        <v>2129</v>
      </c>
      <c r="L78" s="1409" t="s">
        <v>2166</v>
      </c>
      <c r="M78" s="1409">
        <v>796</v>
      </c>
      <c r="N78" s="1409">
        <v>10</v>
      </c>
      <c r="O78" s="1409">
        <v>10</v>
      </c>
      <c r="P78" s="1409"/>
      <c r="Q78" s="1409"/>
      <c r="R78" s="1409"/>
      <c r="S78" s="1409" t="s">
        <v>2129</v>
      </c>
      <c r="T78" s="1409" t="s">
        <v>2129</v>
      </c>
      <c r="U78" s="1409" t="s">
        <v>2129</v>
      </c>
      <c r="V78" s="1409" t="s">
        <v>2129</v>
      </c>
      <c r="W78" s="1409" t="s">
        <v>2129</v>
      </c>
      <c r="X78" s="1409" t="s">
        <v>2129</v>
      </c>
      <c r="Y78" s="1409" t="s">
        <v>2129</v>
      </c>
      <c r="Z78" s="1409" t="s">
        <v>2129</v>
      </c>
      <c r="AA78" s="1409" t="s">
        <v>2129</v>
      </c>
      <c r="AB78" s="1409" t="s">
        <v>2129</v>
      </c>
      <c r="AC78" s="1409" t="s">
        <v>2129</v>
      </c>
      <c r="AD78" s="1409" t="s">
        <v>2129</v>
      </c>
      <c r="AE78" s="1409" t="s">
        <v>2129</v>
      </c>
      <c r="AF78" s="1409" t="s">
        <v>2129</v>
      </c>
      <c r="AG78" s="1409" t="s">
        <v>2129</v>
      </c>
    </row>
    <row r="79" spans="1:33" ht="24" hidden="1" customHeight="1">
      <c r="A79" s="1528">
        <v>14</v>
      </c>
      <c r="B79" s="1531">
        <v>1.7224300000000002E+35</v>
      </c>
      <c r="C79" s="1528" t="s">
        <v>2191</v>
      </c>
      <c r="D79" s="1528" t="s">
        <v>2192</v>
      </c>
      <c r="E79" s="1528">
        <v>62953.8</v>
      </c>
      <c r="F79" s="1528"/>
      <c r="G79" s="1528">
        <v>62953.8</v>
      </c>
      <c r="H79" s="1528">
        <v>62953.8</v>
      </c>
      <c r="I79" s="1528">
        <v>0</v>
      </c>
      <c r="J79" s="1528">
        <v>0</v>
      </c>
      <c r="K79" s="1528">
        <v>0</v>
      </c>
      <c r="L79" s="1528" t="s">
        <v>2129</v>
      </c>
      <c r="M79" s="1528" t="s">
        <v>2129</v>
      </c>
      <c r="N79" s="1528" t="s">
        <v>2129</v>
      </c>
      <c r="O79" s="1528" t="s">
        <v>2129</v>
      </c>
      <c r="P79" s="1528" t="s">
        <v>2129</v>
      </c>
      <c r="Q79" s="1528" t="s">
        <v>2129</v>
      </c>
      <c r="R79" s="1528" t="s">
        <v>2129</v>
      </c>
      <c r="S79" s="1410" t="s">
        <v>2169</v>
      </c>
      <c r="T79" s="1528"/>
      <c r="U79" s="1528"/>
      <c r="V79" s="1528">
        <v>2.2017000000000002</v>
      </c>
      <c r="W79" s="1528">
        <v>12.201700000000001</v>
      </c>
      <c r="X79" s="1528" t="s">
        <v>2131</v>
      </c>
      <c r="Y79" s="1528" t="s">
        <v>2132</v>
      </c>
      <c r="Z79" s="1528" t="s">
        <v>2132</v>
      </c>
      <c r="AA79" s="1528"/>
      <c r="AB79" s="1528"/>
      <c r="AC79" s="1528"/>
      <c r="AD79" s="1528" t="s">
        <v>2133</v>
      </c>
      <c r="AE79" s="1410" t="s">
        <v>2134</v>
      </c>
      <c r="AF79" s="1528"/>
      <c r="AG79" s="1528"/>
    </row>
    <row r="80" spans="1:33" ht="93" hidden="1" thickBot="1">
      <c r="A80" s="1530"/>
      <c r="B80" s="1532"/>
      <c r="C80" s="1530"/>
      <c r="D80" s="1529"/>
      <c r="E80" s="1529"/>
      <c r="F80" s="1529"/>
      <c r="G80" s="1529"/>
      <c r="H80" s="1529"/>
      <c r="I80" s="1529"/>
      <c r="J80" s="1529"/>
      <c r="K80" s="1529"/>
      <c r="L80" s="1529"/>
      <c r="M80" s="1529"/>
      <c r="N80" s="1529"/>
      <c r="O80" s="1529"/>
      <c r="P80" s="1529"/>
      <c r="Q80" s="1529"/>
      <c r="R80" s="1529"/>
      <c r="S80" s="1409" t="s">
        <v>2193</v>
      </c>
      <c r="T80" s="1529"/>
      <c r="U80" s="1529"/>
      <c r="V80" s="1529"/>
      <c r="W80" s="1529"/>
      <c r="X80" s="1529"/>
      <c r="Y80" s="1529"/>
      <c r="Z80" s="1529"/>
      <c r="AA80" s="1529"/>
      <c r="AB80" s="1529"/>
      <c r="AC80" s="1529"/>
      <c r="AD80" s="1529"/>
      <c r="AE80" s="1409" t="s">
        <v>2136</v>
      </c>
      <c r="AF80" s="1529"/>
      <c r="AG80" s="1529"/>
    </row>
    <row r="81" spans="1:33" ht="27" hidden="1" thickBot="1">
      <c r="A81" s="1529"/>
      <c r="B81" s="1533"/>
      <c r="C81" s="1529"/>
      <c r="D81" s="1409" t="s">
        <v>2194</v>
      </c>
      <c r="E81" s="1409" t="s">
        <v>2129</v>
      </c>
      <c r="F81" s="1409" t="s">
        <v>2129</v>
      </c>
      <c r="G81" s="1409" t="s">
        <v>2129</v>
      </c>
      <c r="H81" s="1409" t="s">
        <v>2129</v>
      </c>
      <c r="I81" s="1409" t="s">
        <v>2129</v>
      </c>
      <c r="J81" s="1409" t="s">
        <v>2129</v>
      </c>
      <c r="K81" s="1409" t="s">
        <v>2129</v>
      </c>
      <c r="L81" s="1409" t="s">
        <v>2166</v>
      </c>
      <c r="M81" s="1409">
        <v>796</v>
      </c>
      <c r="N81" s="1409">
        <v>25</v>
      </c>
      <c r="O81" s="1409">
        <v>25</v>
      </c>
      <c r="P81" s="1409"/>
      <c r="Q81" s="1409"/>
      <c r="R81" s="1409"/>
      <c r="S81" s="1409" t="s">
        <v>2129</v>
      </c>
      <c r="T81" s="1409" t="s">
        <v>2129</v>
      </c>
      <c r="U81" s="1409" t="s">
        <v>2129</v>
      </c>
      <c r="V81" s="1409" t="s">
        <v>2129</v>
      </c>
      <c r="W81" s="1409" t="s">
        <v>2129</v>
      </c>
      <c r="X81" s="1409" t="s">
        <v>2129</v>
      </c>
      <c r="Y81" s="1409" t="s">
        <v>2129</v>
      </c>
      <c r="Z81" s="1409" t="s">
        <v>2129</v>
      </c>
      <c r="AA81" s="1409" t="s">
        <v>2129</v>
      </c>
      <c r="AB81" s="1409" t="s">
        <v>2129</v>
      </c>
      <c r="AC81" s="1409" t="s">
        <v>2129</v>
      </c>
      <c r="AD81" s="1409" t="s">
        <v>2129</v>
      </c>
      <c r="AE81" s="1409" t="s">
        <v>2129</v>
      </c>
      <c r="AF81" s="1409" t="s">
        <v>2129</v>
      </c>
      <c r="AG81" s="1409" t="s">
        <v>2129</v>
      </c>
    </row>
    <row r="82" spans="1:33" ht="24" hidden="1" customHeight="1">
      <c r="A82" s="1528">
        <v>15</v>
      </c>
      <c r="B82" s="1531">
        <v>1.7224300000000002E+35</v>
      </c>
      <c r="C82" s="1528" t="s">
        <v>2195</v>
      </c>
      <c r="D82" s="1528" t="s">
        <v>2196</v>
      </c>
      <c r="E82" s="1528">
        <v>42513</v>
      </c>
      <c r="F82" s="1528"/>
      <c r="G82" s="1528">
        <v>42513</v>
      </c>
      <c r="H82" s="1528">
        <v>42513</v>
      </c>
      <c r="I82" s="1528">
        <v>0</v>
      </c>
      <c r="J82" s="1528">
        <v>0</v>
      </c>
      <c r="K82" s="1528">
        <v>0</v>
      </c>
      <c r="L82" s="1528" t="s">
        <v>2129</v>
      </c>
      <c r="M82" s="1528" t="s">
        <v>2129</v>
      </c>
      <c r="N82" s="1528" t="s">
        <v>2129</v>
      </c>
      <c r="O82" s="1528" t="s">
        <v>2129</v>
      </c>
      <c r="P82" s="1528" t="s">
        <v>2129</v>
      </c>
      <c r="Q82" s="1528" t="s">
        <v>2129</v>
      </c>
      <c r="R82" s="1528" t="s">
        <v>2129</v>
      </c>
      <c r="S82" s="1410" t="s">
        <v>2197</v>
      </c>
      <c r="T82" s="1528"/>
      <c r="U82" s="1528"/>
      <c r="V82" s="1528">
        <v>2.2017000000000002</v>
      </c>
      <c r="W82" s="1528">
        <v>12.201700000000001</v>
      </c>
      <c r="X82" s="1528" t="s">
        <v>2131</v>
      </c>
      <c r="Y82" s="1528" t="s">
        <v>2132</v>
      </c>
      <c r="Z82" s="1528" t="s">
        <v>2132</v>
      </c>
      <c r="AA82" s="1528"/>
      <c r="AB82" s="1528"/>
      <c r="AC82" s="1528"/>
      <c r="AD82" s="1528"/>
      <c r="AE82" s="1410" t="s">
        <v>2198</v>
      </c>
      <c r="AF82" s="1528"/>
      <c r="AG82" s="1528"/>
    </row>
    <row r="83" spans="1:33" ht="93" hidden="1" thickBot="1">
      <c r="A83" s="1530"/>
      <c r="B83" s="1532"/>
      <c r="C83" s="1530"/>
      <c r="D83" s="1529"/>
      <c r="E83" s="1529"/>
      <c r="F83" s="1529"/>
      <c r="G83" s="1529"/>
      <c r="H83" s="1529"/>
      <c r="I83" s="1529"/>
      <c r="J83" s="1529"/>
      <c r="K83" s="1529"/>
      <c r="L83" s="1529"/>
      <c r="M83" s="1529"/>
      <c r="N83" s="1529"/>
      <c r="O83" s="1529"/>
      <c r="P83" s="1529"/>
      <c r="Q83" s="1529"/>
      <c r="R83" s="1529"/>
      <c r="S83" s="1409" t="s">
        <v>2199</v>
      </c>
      <c r="T83" s="1529"/>
      <c r="U83" s="1529"/>
      <c r="V83" s="1529"/>
      <c r="W83" s="1529"/>
      <c r="X83" s="1529"/>
      <c r="Y83" s="1529"/>
      <c r="Z83" s="1529"/>
      <c r="AA83" s="1529"/>
      <c r="AB83" s="1529"/>
      <c r="AC83" s="1529"/>
      <c r="AD83" s="1529"/>
      <c r="AE83" s="1409" t="s">
        <v>2200</v>
      </c>
      <c r="AF83" s="1529"/>
      <c r="AG83" s="1529"/>
    </row>
    <row r="84" spans="1:33" ht="18.75" hidden="1" thickBot="1">
      <c r="A84" s="1529"/>
      <c r="B84" s="1533"/>
      <c r="C84" s="1529"/>
      <c r="D84" s="1409" t="s">
        <v>2201</v>
      </c>
      <c r="E84" s="1409" t="s">
        <v>2129</v>
      </c>
      <c r="F84" s="1409" t="s">
        <v>2129</v>
      </c>
      <c r="G84" s="1409" t="s">
        <v>2129</v>
      </c>
      <c r="H84" s="1409" t="s">
        <v>2129</v>
      </c>
      <c r="I84" s="1409" t="s">
        <v>2129</v>
      </c>
      <c r="J84" s="1409" t="s">
        <v>2129</v>
      </c>
      <c r="K84" s="1409" t="s">
        <v>2129</v>
      </c>
      <c r="L84" s="1409" t="s">
        <v>2166</v>
      </c>
      <c r="M84" s="1409">
        <v>796</v>
      </c>
      <c r="N84" s="1409">
        <v>1</v>
      </c>
      <c r="O84" s="1409">
        <v>1</v>
      </c>
      <c r="P84" s="1409"/>
      <c r="Q84" s="1409"/>
      <c r="R84" s="1409"/>
      <c r="S84" s="1409" t="s">
        <v>2129</v>
      </c>
      <c r="T84" s="1409" t="s">
        <v>2129</v>
      </c>
      <c r="U84" s="1409" t="s">
        <v>2129</v>
      </c>
      <c r="V84" s="1409" t="s">
        <v>2129</v>
      </c>
      <c r="W84" s="1409" t="s">
        <v>2129</v>
      </c>
      <c r="X84" s="1409" t="s">
        <v>2129</v>
      </c>
      <c r="Y84" s="1409" t="s">
        <v>2129</v>
      </c>
      <c r="Z84" s="1409" t="s">
        <v>2129</v>
      </c>
      <c r="AA84" s="1409" t="s">
        <v>2129</v>
      </c>
      <c r="AB84" s="1409" t="s">
        <v>2129</v>
      </c>
      <c r="AC84" s="1409" t="s">
        <v>2129</v>
      </c>
      <c r="AD84" s="1409" t="s">
        <v>2129</v>
      </c>
      <c r="AE84" s="1409" t="s">
        <v>2129</v>
      </c>
      <c r="AF84" s="1409" t="s">
        <v>2129</v>
      </c>
      <c r="AG84" s="1409" t="s">
        <v>2129</v>
      </c>
    </row>
    <row r="85" spans="1:33" ht="24" hidden="1" customHeight="1">
      <c r="A85" s="1528">
        <v>16</v>
      </c>
      <c r="B85" s="1531">
        <v>1.7224300000000002E+35</v>
      </c>
      <c r="C85" s="1528" t="s">
        <v>2195</v>
      </c>
      <c r="D85" s="1528"/>
      <c r="E85" s="1528">
        <v>38474.699999999997</v>
      </c>
      <c r="F85" s="1528"/>
      <c r="G85" s="1528">
        <v>38474.699999999997</v>
      </c>
      <c r="H85" s="1528">
        <v>38474.699999999997</v>
      </c>
      <c r="I85" s="1528">
        <v>0</v>
      </c>
      <c r="J85" s="1528">
        <v>0</v>
      </c>
      <c r="K85" s="1528">
        <v>0</v>
      </c>
      <c r="L85" s="1528" t="s">
        <v>2129</v>
      </c>
      <c r="M85" s="1528" t="s">
        <v>2129</v>
      </c>
      <c r="N85" s="1528" t="s">
        <v>2129</v>
      </c>
      <c r="O85" s="1528" t="s">
        <v>2129</v>
      </c>
      <c r="P85" s="1528" t="s">
        <v>2129</v>
      </c>
      <c r="Q85" s="1528" t="s">
        <v>2129</v>
      </c>
      <c r="R85" s="1528" t="s">
        <v>2129</v>
      </c>
      <c r="S85" s="1410" t="s">
        <v>2163</v>
      </c>
      <c r="T85" s="1528"/>
      <c r="U85" s="1528"/>
      <c r="V85" s="1528">
        <v>11.201700000000001</v>
      </c>
      <c r="W85" s="1528">
        <v>12.201700000000001</v>
      </c>
      <c r="X85" s="1528" t="s">
        <v>2131</v>
      </c>
      <c r="Y85" s="1528" t="s">
        <v>2132</v>
      </c>
      <c r="Z85" s="1528" t="s">
        <v>2132</v>
      </c>
      <c r="AA85" s="1528"/>
      <c r="AB85" s="1528"/>
      <c r="AC85" s="1528"/>
      <c r="AD85" s="1528" t="s">
        <v>2133</v>
      </c>
      <c r="AE85" s="1528"/>
      <c r="AF85" s="1528"/>
      <c r="AG85" s="1528"/>
    </row>
    <row r="86" spans="1:33" ht="76.5" hidden="1" thickBot="1">
      <c r="A86" s="1530"/>
      <c r="B86" s="1532"/>
      <c r="C86" s="1530"/>
      <c r="D86" s="1529"/>
      <c r="E86" s="1529"/>
      <c r="F86" s="1529"/>
      <c r="G86" s="1529"/>
      <c r="H86" s="1529"/>
      <c r="I86" s="1529"/>
      <c r="J86" s="1529"/>
      <c r="K86" s="1529"/>
      <c r="L86" s="1529"/>
      <c r="M86" s="1529"/>
      <c r="N86" s="1529"/>
      <c r="O86" s="1529"/>
      <c r="P86" s="1529"/>
      <c r="Q86" s="1529"/>
      <c r="R86" s="1529"/>
      <c r="S86" s="1409" t="s">
        <v>2202</v>
      </c>
      <c r="T86" s="1529"/>
      <c r="U86" s="1529"/>
      <c r="V86" s="1529"/>
      <c r="W86" s="1529"/>
      <c r="X86" s="1529"/>
      <c r="Y86" s="1529"/>
      <c r="Z86" s="1529"/>
      <c r="AA86" s="1529"/>
      <c r="AB86" s="1529"/>
      <c r="AC86" s="1529"/>
      <c r="AD86" s="1529"/>
      <c r="AE86" s="1529"/>
      <c r="AF86" s="1529"/>
      <c r="AG86" s="1529"/>
    </row>
    <row r="87" spans="1:33" ht="27" hidden="1" thickBot="1">
      <c r="A87" s="1529"/>
      <c r="B87" s="1533"/>
      <c r="C87" s="1529"/>
      <c r="D87" s="1409" t="s">
        <v>2203</v>
      </c>
      <c r="E87" s="1409" t="s">
        <v>2129</v>
      </c>
      <c r="F87" s="1409" t="s">
        <v>2129</v>
      </c>
      <c r="G87" s="1409" t="s">
        <v>2129</v>
      </c>
      <c r="H87" s="1409" t="s">
        <v>2129</v>
      </c>
      <c r="I87" s="1409" t="s">
        <v>2129</v>
      </c>
      <c r="J87" s="1409" t="s">
        <v>2129</v>
      </c>
      <c r="K87" s="1409" t="s">
        <v>2129</v>
      </c>
      <c r="L87" s="1409" t="s">
        <v>2166</v>
      </c>
      <c r="M87" s="1409">
        <v>796</v>
      </c>
      <c r="N87" s="1409">
        <v>1</v>
      </c>
      <c r="O87" s="1409">
        <v>1</v>
      </c>
      <c r="P87" s="1409"/>
      <c r="Q87" s="1409"/>
      <c r="R87" s="1409"/>
      <c r="S87" s="1409" t="s">
        <v>2129</v>
      </c>
      <c r="T87" s="1409" t="s">
        <v>2129</v>
      </c>
      <c r="U87" s="1409" t="s">
        <v>2129</v>
      </c>
      <c r="V87" s="1409" t="s">
        <v>2129</v>
      </c>
      <c r="W87" s="1409" t="s">
        <v>2129</v>
      </c>
      <c r="X87" s="1409" t="s">
        <v>2129</v>
      </c>
      <c r="Y87" s="1409" t="s">
        <v>2129</v>
      </c>
      <c r="Z87" s="1409" t="s">
        <v>2129</v>
      </c>
      <c r="AA87" s="1409" t="s">
        <v>2129</v>
      </c>
      <c r="AB87" s="1409" t="s">
        <v>2129</v>
      </c>
      <c r="AC87" s="1409" t="s">
        <v>2129</v>
      </c>
      <c r="AD87" s="1409" t="s">
        <v>2129</v>
      </c>
      <c r="AE87" s="1409" t="s">
        <v>2129</v>
      </c>
      <c r="AF87" s="1409" t="s">
        <v>2129</v>
      </c>
      <c r="AG87" s="1409" t="s">
        <v>2129</v>
      </c>
    </row>
    <row r="88" spans="1:33" ht="24" hidden="1" customHeight="1">
      <c r="A88" s="1528">
        <v>17</v>
      </c>
      <c r="B88" s="1531">
        <v>1.7224300000000002E+35</v>
      </c>
      <c r="C88" s="1528" t="s">
        <v>2204</v>
      </c>
      <c r="D88" s="1528" t="s">
        <v>2205</v>
      </c>
      <c r="E88" s="1528">
        <v>4800</v>
      </c>
      <c r="F88" s="1528"/>
      <c r="G88" s="1528">
        <v>4800</v>
      </c>
      <c r="H88" s="1528">
        <v>4800</v>
      </c>
      <c r="I88" s="1528">
        <v>0</v>
      </c>
      <c r="J88" s="1528">
        <v>0</v>
      </c>
      <c r="K88" s="1528">
        <v>0</v>
      </c>
      <c r="L88" s="1528" t="s">
        <v>2129</v>
      </c>
      <c r="M88" s="1528" t="s">
        <v>2129</v>
      </c>
      <c r="N88" s="1528" t="s">
        <v>2129</v>
      </c>
      <c r="O88" s="1528" t="s">
        <v>2129</v>
      </c>
      <c r="P88" s="1528" t="s">
        <v>2129</v>
      </c>
      <c r="Q88" s="1528" t="s">
        <v>2129</v>
      </c>
      <c r="R88" s="1528" t="s">
        <v>2129</v>
      </c>
      <c r="S88" s="1410" t="s">
        <v>2163</v>
      </c>
      <c r="T88" s="1528"/>
      <c r="U88" s="1528"/>
      <c r="V88" s="1528">
        <v>6.2016999999999998</v>
      </c>
      <c r="W88" s="1528">
        <v>12.201700000000001</v>
      </c>
      <c r="X88" s="1528" t="s">
        <v>2131</v>
      </c>
      <c r="Y88" s="1528" t="s">
        <v>2132</v>
      </c>
      <c r="Z88" s="1528" t="s">
        <v>2132</v>
      </c>
      <c r="AA88" s="1528"/>
      <c r="AB88" s="1528"/>
      <c r="AC88" s="1528"/>
      <c r="AD88" s="1528"/>
      <c r="AE88" s="1528"/>
      <c r="AF88" s="1528"/>
      <c r="AG88" s="1528"/>
    </row>
    <row r="89" spans="1:33" ht="93" hidden="1" thickBot="1">
      <c r="A89" s="1530"/>
      <c r="B89" s="1532"/>
      <c r="C89" s="1530"/>
      <c r="D89" s="1529"/>
      <c r="E89" s="1529"/>
      <c r="F89" s="1529"/>
      <c r="G89" s="1529"/>
      <c r="H89" s="1529"/>
      <c r="I89" s="1529"/>
      <c r="J89" s="1529"/>
      <c r="K89" s="1529"/>
      <c r="L89" s="1529"/>
      <c r="M89" s="1529"/>
      <c r="N89" s="1529"/>
      <c r="O89" s="1529"/>
      <c r="P89" s="1529"/>
      <c r="Q89" s="1529"/>
      <c r="R89" s="1529"/>
      <c r="S89" s="1409" t="s">
        <v>2189</v>
      </c>
      <c r="T89" s="1529"/>
      <c r="U89" s="1529"/>
      <c r="V89" s="1529"/>
      <c r="W89" s="1529"/>
      <c r="X89" s="1529"/>
      <c r="Y89" s="1529"/>
      <c r="Z89" s="1529"/>
      <c r="AA89" s="1529"/>
      <c r="AB89" s="1529"/>
      <c r="AC89" s="1529"/>
      <c r="AD89" s="1529"/>
      <c r="AE89" s="1529"/>
      <c r="AF89" s="1529"/>
      <c r="AG89" s="1529"/>
    </row>
    <row r="90" spans="1:33" ht="27" hidden="1" thickBot="1">
      <c r="A90" s="1529"/>
      <c r="B90" s="1533"/>
      <c r="C90" s="1529"/>
      <c r="D90" s="1409" t="s">
        <v>2206</v>
      </c>
      <c r="E90" s="1409" t="s">
        <v>2129</v>
      </c>
      <c r="F90" s="1409" t="s">
        <v>2129</v>
      </c>
      <c r="G90" s="1409" t="s">
        <v>2129</v>
      </c>
      <c r="H90" s="1409" t="s">
        <v>2129</v>
      </c>
      <c r="I90" s="1409" t="s">
        <v>2129</v>
      </c>
      <c r="J90" s="1409" t="s">
        <v>2129</v>
      </c>
      <c r="K90" s="1409" t="s">
        <v>2129</v>
      </c>
      <c r="L90" s="1409" t="s">
        <v>2166</v>
      </c>
      <c r="M90" s="1409">
        <v>796</v>
      </c>
      <c r="N90" s="1409">
        <v>2</v>
      </c>
      <c r="O90" s="1409">
        <v>2</v>
      </c>
      <c r="P90" s="1409"/>
      <c r="Q90" s="1409"/>
      <c r="R90" s="1409"/>
      <c r="S90" s="1409" t="s">
        <v>2129</v>
      </c>
      <c r="T90" s="1409" t="s">
        <v>2129</v>
      </c>
      <c r="U90" s="1409" t="s">
        <v>2129</v>
      </c>
      <c r="V90" s="1409" t="s">
        <v>2129</v>
      </c>
      <c r="W90" s="1409" t="s">
        <v>2129</v>
      </c>
      <c r="X90" s="1409" t="s">
        <v>2129</v>
      </c>
      <c r="Y90" s="1409" t="s">
        <v>2129</v>
      </c>
      <c r="Z90" s="1409" t="s">
        <v>2129</v>
      </c>
      <c r="AA90" s="1409" t="s">
        <v>2129</v>
      </c>
      <c r="AB90" s="1409" t="s">
        <v>2129</v>
      </c>
      <c r="AC90" s="1409" t="s">
        <v>2129</v>
      </c>
      <c r="AD90" s="1409" t="s">
        <v>2129</v>
      </c>
      <c r="AE90" s="1409" t="s">
        <v>2129</v>
      </c>
      <c r="AF90" s="1409" t="s">
        <v>2129</v>
      </c>
      <c r="AG90" s="1409" t="s">
        <v>2129</v>
      </c>
    </row>
    <row r="91" spans="1:33" ht="25.5" hidden="1" customHeight="1">
      <c r="A91" s="1528">
        <v>18</v>
      </c>
      <c r="B91" s="1531">
        <v>1.7224300000000002E+35</v>
      </c>
      <c r="C91" s="1528" t="s">
        <v>2207</v>
      </c>
      <c r="D91" s="1528" t="s">
        <v>2208</v>
      </c>
      <c r="E91" s="1528">
        <v>11582</v>
      </c>
      <c r="F91" s="1528"/>
      <c r="G91" s="1528">
        <v>11582</v>
      </c>
      <c r="H91" s="1528">
        <v>11582</v>
      </c>
      <c r="I91" s="1528">
        <v>0</v>
      </c>
      <c r="J91" s="1528">
        <v>0</v>
      </c>
      <c r="K91" s="1528">
        <v>0</v>
      </c>
      <c r="L91" s="1528" t="s">
        <v>2129</v>
      </c>
      <c r="M91" s="1528" t="s">
        <v>2129</v>
      </c>
      <c r="N91" s="1528" t="s">
        <v>2129</v>
      </c>
      <c r="O91" s="1528" t="s">
        <v>2129</v>
      </c>
      <c r="P91" s="1528" t="s">
        <v>2129</v>
      </c>
      <c r="Q91" s="1528" t="s">
        <v>2129</v>
      </c>
      <c r="R91" s="1528" t="s">
        <v>2129</v>
      </c>
      <c r="S91" s="1410" t="s">
        <v>2163</v>
      </c>
      <c r="T91" s="1528"/>
      <c r="U91" s="1528"/>
      <c r="V91" s="1528">
        <v>6.2016999999999998</v>
      </c>
      <c r="W91" s="1528">
        <v>7.2016999999999998</v>
      </c>
      <c r="X91" s="1528" t="s">
        <v>2131</v>
      </c>
      <c r="Y91" s="1528" t="s">
        <v>2132</v>
      </c>
      <c r="Z91" s="1528" t="s">
        <v>2132</v>
      </c>
      <c r="AA91" s="1528"/>
      <c r="AB91" s="1528"/>
      <c r="AC91" s="1528"/>
      <c r="AD91" s="1528"/>
      <c r="AE91" s="1528"/>
      <c r="AF91" s="1528"/>
      <c r="AG91" s="1528"/>
    </row>
    <row r="92" spans="1:33" ht="84.75" hidden="1" thickBot="1">
      <c r="A92" s="1530"/>
      <c r="B92" s="1532"/>
      <c r="C92" s="1530"/>
      <c r="D92" s="1529"/>
      <c r="E92" s="1529"/>
      <c r="F92" s="1529"/>
      <c r="G92" s="1529"/>
      <c r="H92" s="1529"/>
      <c r="I92" s="1529"/>
      <c r="J92" s="1529"/>
      <c r="K92" s="1529"/>
      <c r="L92" s="1529"/>
      <c r="M92" s="1529"/>
      <c r="N92" s="1529"/>
      <c r="O92" s="1529"/>
      <c r="P92" s="1529"/>
      <c r="Q92" s="1529"/>
      <c r="R92" s="1529"/>
      <c r="S92" s="1409" t="s">
        <v>2209</v>
      </c>
      <c r="T92" s="1529"/>
      <c r="U92" s="1529"/>
      <c r="V92" s="1529"/>
      <c r="W92" s="1529"/>
      <c r="X92" s="1529"/>
      <c r="Y92" s="1529"/>
      <c r="Z92" s="1529"/>
      <c r="AA92" s="1529"/>
      <c r="AB92" s="1529"/>
      <c r="AC92" s="1529"/>
      <c r="AD92" s="1529"/>
      <c r="AE92" s="1529"/>
      <c r="AF92" s="1529"/>
      <c r="AG92" s="1529"/>
    </row>
    <row r="93" spans="1:33" ht="15.75" hidden="1" thickBot="1">
      <c r="A93" s="1529"/>
      <c r="B93" s="1533"/>
      <c r="C93" s="1529"/>
      <c r="D93" s="1409" t="s">
        <v>2210</v>
      </c>
      <c r="E93" s="1409" t="s">
        <v>2129</v>
      </c>
      <c r="F93" s="1409" t="s">
        <v>2129</v>
      </c>
      <c r="G93" s="1409" t="s">
        <v>2129</v>
      </c>
      <c r="H93" s="1409" t="s">
        <v>2129</v>
      </c>
      <c r="I93" s="1409" t="s">
        <v>2129</v>
      </c>
      <c r="J93" s="1409" t="s">
        <v>2129</v>
      </c>
      <c r="K93" s="1409" t="s">
        <v>2129</v>
      </c>
      <c r="L93" s="1409" t="s">
        <v>2172</v>
      </c>
      <c r="M93" s="1409">
        <v>55</v>
      </c>
      <c r="N93" s="1409">
        <v>100</v>
      </c>
      <c r="O93" s="1409">
        <v>100</v>
      </c>
      <c r="P93" s="1409"/>
      <c r="Q93" s="1409"/>
      <c r="R93" s="1409"/>
      <c r="S93" s="1409" t="s">
        <v>2129</v>
      </c>
      <c r="T93" s="1409" t="s">
        <v>2129</v>
      </c>
      <c r="U93" s="1409" t="s">
        <v>2129</v>
      </c>
      <c r="V93" s="1409" t="s">
        <v>2129</v>
      </c>
      <c r="W93" s="1409" t="s">
        <v>2129</v>
      </c>
      <c r="X93" s="1409" t="s">
        <v>2129</v>
      </c>
      <c r="Y93" s="1409" t="s">
        <v>2129</v>
      </c>
      <c r="Z93" s="1409" t="s">
        <v>2129</v>
      </c>
      <c r="AA93" s="1409" t="s">
        <v>2129</v>
      </c>
      <c r="AB93" s="1409" t="s">
        <v>2129</v>
      </c>
      <c r="AC93" s="1409" t="s">
        <v>2129</v>
      </c>
      <c r="AD93" s="1409" t="s">
        <v>2129</v>
      </c>
      <c r="AE93" s="1409" t="s">
        <v>2129</v>
      </c>
      <c r="AF93" s="1409" t="s">
        <v>2129</v>
      </c>
      <c r="AG93" s="1409" t="s">
        <v>2129</v>
      </c>
    </row>
    <row r="94" spans="1:33" ht="25.5" hidden="1" customHeight="1">
      <c r="A94" s="1528">
        <v>19</v>
      </c>
      <c r="B94" s="1531">
        <v>1.7224300000000002E+35</v>
      </c>
      <c r="C94" s="1528" t="s">
        <v>2211</v>
      </c>
      <c r="D94" s="1528" t="s">
        <v>2212</v>
      </c>
      <c r="E94" s="1528">
        <v>0</v>
      </c>
      <c r="F94" s="1528"/>
      <c r="G94" s="1528">
        <v>0</v>
      </c>
      <c r="H94" s="1528">
        <v>0</v>
      </c>
      <c r="I94" s="1528">
        <v>0</v>
      </c>
      <c r="J94" s="1528">
        <v>0</v>
      </c>
      <c r="K94" s="1528">
        <v>0</v>
      </c>
      <c r="L94" s="1528" t="s">
        <v>2129</v>
      </c>
      <c r="M94" s="1528" t="s">
        <v>2129</v>
      </c>
      <c r="N94" s="1528" t="s">
        <v>2129</v>
      </c>
      <c r="O94" s="1528" t="s">
        <v>2129</v>
      </c>
      <c r="P94" s="1528" t="s">
        <v>2129</v>
      </c>
      <c r="Q94" s="1528" t="s">
        <v>2129</v>
      </c>
      <c r="R94" s="1528" t="s">
        <v>2129</v>
      </c>
      <c r="S94" s="1410" t="s">
        <v>2163</v>
      </c>
      <c r="T94" s="1528"/>
      <c r="U94" s="1528"/>
      <c r="V94" s="1528">
        <v>1.2017</v>
      </c>
      <c r="W94" s="1528">
        <v>12.201700000000001</v>
      </c>
      <c r="X94" s="1528" t="s">
        <v>2131</v>
      </c>
      <c r="Y94" s="1528" t="s">
        <v>2132</v>
      </c>
      <c r="Z94" s="1528" t="s">
        <v>2132</v>
      </c>
      <c r="AA94" s="1528"/>
      <c r="AB94" s="1528"/>
      <c r="AC94" s="1528"/>
      <c r="AD94" s="1528" t="s">
        <v>2133</v>
      </c>
      <c r="AE94" s="1410" t="s">
        <v>2198</v>
      </c>
      <c r="AF94" s="1528"/>
      <c r="AG94" s="1528"/>
    </row>
    <row r="95" spans="1:33" ht="93" hidden="1" thickBot="1">
      <c r="A95" s="1530"/>
      <c r="B95" s="1532"/>
      <c r="C95" s="1530"/>
      <c r="D95" s="1529"/>
      <c r="E95" s="1529"/>
      <c r="F95" s="1529"/>
      <c r="G95" s="1529"/>
      <c r="H95" s="1529"/>
      <c r="I95" s="1529"/>
      <c r="J95" s="1529"/>
      <c r="K95" s="1529"/>
      <c r="L95" s="1529"/>
      <c r="M95" s="1529"/>
      <c r="N95" s="1529"/>
      <c r="O95" s="1529"/>
      <c r="P95" s="1529"/>
      <c r="Q95" s="1529"/>
      <c r="R95" s="1529"/>
      <c r="S95" s="1409" t="s">
        <v>2213</v>
      </c>
      <c r="T95" s="1529"/>
      <c r="U95" s="1529"/>
      <c r="V95" s="1529"/>
      <c r="W95" s="1529"/>
      <c r="X95" s="1529"/>
      <c r="Y95" s="1529"/>
      <c r="Z95" s="1529"/>
      <c r="AA95" s="1529"/>
      <c r="AB95" s="1529"/>
      <c r="AC95" s="1529"/>
      <c r="AD95" s="1529"/>
      <c r="AE95" s="1409" t="s">
        <v>2200</v>
      </c>
      <c r="AF95" s="1529"/>
      <c r="AG95" s="1529"/>
    </row>
    <row r="96" spans="1:33" ht="18.75" hidden="1" thickBot="1">
      <c r="A96" s="1529"/>
      <c r="B96" s="1533"/>
      <c r="C96" s="1529"/>
      <c r="D96" s="1409" t="s">
        <v>2214</v>
      </c>
      <c r="E96" s="1409" t="s">
        <v>2129</v>
      </c>
      <c r="F96" s="1409" t="s">
        <v>2129</v>
      </c>
      <c r="G96" s="1409" t="s">
        <v>2129</v>
      </c>
      <c r="H96" s="1409" t="s">
        <v>2129</v>
      </c>
      <c r="I96" s="1409" t="s">
        <v>2129</v>
      </c>
      <c r="J96" s="1409" t="s">
        <v>2129</v>
      </c>
      <c r="K96" s="1409" t="s">
        <v>2129</v>
      </c>
      <c r="L96" s="1409" t="s">
        <v>2215</v>
      </c>
      <c r="M96" s="1409">
        <v>876</v>
      </c>
      <c r="N96" s="1409">
        <v>1</v>
      </c>
      <c r="O96" s="1409">
        <v>1</v>
      </c>
      <c r="P96" s="1409"/>
      <c r="Q96" s="1409"/>
      <c r="R96" s="1409"/>
      <c r="S96" s="1409" t="s">
        <v>2129</v>
      </c>
      <c r="T96" s="1409" t="s">
        <v>2129</v>
      </c>
      <c r="U96" s="1409" t="s">
        <v>2129</v>
      </c>
      <c r="V96" s="1409" t="s">
        <v>2129</v>
      </c>
      <c r="W96" s="1409" t="s">
        <v>2129</v>
      </c>
      <c r="X96" s="1409" t="s">
        <v>2129</v>
      </c>
      <c r="Y96" s="1409" t="s">
        <v>2129</v>
      </c>
      <c r="Z96" s="1409" t="s">
        <v>2129</v>
      </c>
      <c r="AA96" s="1409" t="s">
        <v>2129</v>
      </c>
      <c r="AB96" s="1409" t="s">
        <v>2129</v>
      </c>
      <c r="AC96" s="1409" t="s">
        <v>2129</v>
      </c>
      <c r="AD96" s="1409" t="s">
        <v>2129</v>
      </c>
      <c r="AE96" s="1409" t="s">
        <v>2129</v>
      </c>
      <c r="AF96" s="1409" t="s">
        <v>2129</v>
      </c>
      <c r="AG96" s="1409" t="s">
        <v>2129</v>
      </c>
    </row>
    <row r="97" spans="1:33" ht="25.5" hidden="1" customHeight="1">
      <c r="A97" s="1528">
        <v>20</v>
      </c>
      <c r="B97" s="1531">
        <v>1.7224300000000002E+35</v>
      </c>
      <c r="C97" s="1528" t="s">
        <v>2216</v>
      </c>
      <c r="D97" s="1528" t="s">
        <v>2217</v>
      </c>
      <c r="E97" s="1528">
        <v>14836</v>
      </c>
      <c r="F97" s="1528"/>
      <c r="G97" s="1528">
        <v>14836</v>
      </c>
      <c r="H97" s="1528">
        <v>14836</v>
      </c>
      <c r="I97" s="1528">
        <v>0</v>
      </c>
      <c r="J97" s="1528">
        <v>0</v>
      </c>
      <c r="K97" s="1528">
        <v>0</v>
      </c>
      <c r="L97" s="1528" t="s">
        <v>2129</v>
      </c>
      <c r="M97" s="1528" t="s">
        <v>2129</v>
      </c>
      <c r="N97" s="1528" t="s">
        <v>2129</v>
      </c>
      <c r="O97" s="1528" t="s">
        <v>2129</v>
      </c>
      <c r="P97" s="1528" t="s">
        <v>2129</v>
      </c>
      <c r="Q97" s="1528" t="s">
        <v>2129</v>
      </c>
      <c r="R97" s="1528" t="s">
        <v>2129</v>
      </c>
      <c r="S97" s="1410" t="s">
        <v>2130</v>
      </c>
      <c r="T97" s="1528"/>
      <c r="U97" s="1528"/>
      <c r="V97" s="1528">
        <v>1.2017</v>
      </c>
      <c r="W97" s="1528">
        <v>12.201700000000001</v>
      </c>
      <c r="X97" s="1528" t="s">
        <v>2131</v>
      </c>
      <c r="Y97" s="1528" t="s">
        <v>2132</v>
      </c>
      <c r="Z97" s="1528" t="s">
        <v>2132</v>
      </c>
      <c r="AA97" s="1528"/>
      <c r="AB97" s="1528"/>
      <c r="AC97" s="1528"/>
      <c r="AD97" s="1528"/>
      <c r="AE97" s="1528"/>
      <c r="AF97" s="1528"/>
      <c r="AG97" s="1528"/>
    </row>
    <row r="98" spans="1:33" ht="84.75" hidden="1" thickBot="1">
      <c r="A98" s="1530"/>
      <c r="B98" s="1532"/>
      <c r="C98" s="1530"/>
      <c r="D98" s="1529"/>
      <c r="E98" s="1529"/>
      <c r="F98" s="1529"/>
      <c r="G98" s="1529"/>
      <c r="H98" s="1529"/>
      <c r="I98" s="1529"/>
      <c r="J98" s="1529"/>
      <c r="K98" s="1529"/>
      <c r="L98" s="1529"/>
      <c r="M98" s="1529"/>
      <c r="N98" s="1529"/>
      <c r="O98" s="1529"/>
      <c r="P98" s="1529"/>
      <c r="Q98" s="1529"/>
      <c r="R98" s="1529"/>
      <c r="S98" s="1409" t="s">
        <v>2135</v>
      </c>
      <c r="T98" s="1529"/>
      <c r="U98" s="1529"/>
      <c r="V98" s="1529"/>
      <c r="W98" s="1529"/>
      <c r="X98" s="1529"/>
      <c r="Y98" s="1529"/>
      <c r="Z98" s="1529"/>
      <c r="AA98" s="1529"/>
      <c r="AB98" s="1529"/>
      <c r="AC98" s="1529"/>
      <c r="AD98" s="1529"/>
      <c r="AE98" s="1529"/>
      <c r="AF98" s="1529"/>
      <c r="AG98" s="1529"/>
    </row>
    <row r="99" spans="1:33" ht="43.5" hidden="1" thickBot="1">
      <c r="A99" s="1529"/>
      <c r="B99" s="1533"/>
      <c r="C99" s="1529"/>
      <c r="D99" s="1409" t="s">
        <v>2218</v>
      </c>
      <c r="E99" s="1409" t="s">
        <v>2129</v>
      </c>
      <c r="F99" s="1409" t="s">
        <v>2129</v>
      </c>
      <c r="G99" s="1409" t="s">
        <v>2129</v>
      </c>
      <c r="H99" s="1409" t="s">
        <v>2129</v>
      </c>
      <c r="I99" s="1409" t="s">
        <v>2129</v>
      </c>
      <c r="J99" s="1409" t="s">
        <v>2129</v>
      </c>
      <c r="K99" s="1409" t="s">
        <v>2129</v>
      </c>
      <c r="L99" s="1409" t="s">
        <v>2215</v>
      </c>
      <c r="M99" s="1409">
        <v>876</v>
      </c>
      <c r="N99" s="1409">
        <v>1</v>
      </c>
      <c r="O99" s="1409">
        <v>1</v>
      </c>
      <c r="P99" s="1409"/>
      <c r="Q99" s="1409"/>
      <c r="R99" s="1409"/>
      <c r="S99" s="1409" t="s">
        <v>2129</v>
      </c>
      <c r="T99" s="1409" t="s">
        <v>2129</v>
      </c>
      <c r="U99" s="1409" t="s">
        <v>2129</v>
      </c>
      <c r="V99" s="1409" t="s">
        <v>2129</v>
      </c>
      <c r="W99" s="1409" t="s">
        <v>2129</v>
      </c>
      <c r="X99" s="1409" t="s">
        <v>2129</v>
      </c>
      <c r="Y99" s="1409" t="s">
        <v>2129</v>
      </c>
      <c r="Z99" s="1409" t="s">
        <v>2129</v>
      </c>
      <c r="AA99" s="1409" t="s">
        <v>2129</v>
      </c>
      <c r="AB99" s="1409" t="s">
        <v>2129</v>
      </c>
      <c r="AC99" s="1409" t="s">
        <v>2129</v>
      </c>
      <c r="AD99" s="1409" t="s">
        <v>2129</v>
      </c>
      <c r="AE99" s="1409" t="s">
        <v>2129</v>
      </c>
      <c r="AF99" s="1409" t="s">
        <v>2129</v>
      </c>
      <c r="AG99" s="1409" t="s">
        <v>2129</v>
      </c>
    </row>
    <row r="100" spans="1:33" ht="25.5" hidden="1" customHeight="1">
      <c r="A100" s="1528">
        <v>21</v>
      </c>
      <c r="B100" s="1531">
        <v>1.7224300000000002E+35</v>
      </c>
      <c r="C100" s="1528" t="s">
        <v>2219</v>
      </c>
      <c r="D100" s="1528" t="s">
        <v>2220</v>
      </c>
      <c r="E100" s="1528">
        <v>28140</v>
      </c>
      <c r="F100" s="1528"/>
      <c r="G100" s="1528">
        <v>28140</v>
      </c>
      <c r="H100" s="1528">
        <v>28140</v>
      </c>
      <c r="I100" s="1528">
        <v>0</v>
      </c>
      <c r="J100" s="1528">
        <v>0</v>
      </c>
      <c r="K100" s="1528">
        <v>0</v>
      </c>
      <c r="L100" s="1528" t="s">
        <v>2129</v>
      </c>
      <c r="M100" s="1528" t="s">
        <v>2129</v>
      </c>
      <c r="N100" s="1528" t="s">
        <v>2129</v>
      </c>
      <c r="O100" s="1528" t="s">
        <v>2129</v>
      </c>
      <c r="P100" s="1528" t="s">
        <v>2129</v>
      </c>
      <c r="Q100" s="1528" t="s">
        <v>2129</v>
      </c>
      <c r="R100" s="1528" t="s">
        <v>2129</v>
      </c>
      <c r="S100" s="1410" t="s">
        <v>2130</v>
      </c>
      <c r="T100" s="1528"/>
      <c r="U100" s="1528"/>
      <c r="V100" s="1528">
        <v>1.2017</v>
      </c>
      <c r="W100" s="1528">
        <v>12.201700000000001</v>
      </c>
      <c r="X100" s="1528" t="s">
        <v>2131</v>
      </c>
      <c r="Y100" s="1528" t="s">
        <v>2132</v>
      </c>
      <c r="Z100" s="1528" t="s">
        <v>2132</v>
      </c>
      <c r="AA100" s="1528"/>
      <c r="AB100" s="1528"/>
      <c r="AC100" s="1528"/>
      <c r="AD100" s="1528"/>
      <c r="AE100" s="1528"/>
      <c r="AF100" s="1528"/>
      <c r="AG100" s="1528"/>
    </row>
    <row r="101" spans="1:33" ht="93" hidden="1" thickBot="1">
      <c r="A101" s="1530"/>
      <c r="B101" s="1532"/>
      <c r="C101" s="1530"/>
      <c r="D101" s="1529"/>
      <c r="E101" s="1529"/>
      <c r="F101" s="1529"/>
      <c r="G101" s="1529"/>
      <c r="H101" s="1529"/>
      <c r="I101" s="1529"/>
      <c r="J101" s="1529"/>
      <c r="K101" s="1529"/>
      <c r="L101" s="1529"/>
      <c r="M101" s="1529"/>
      <c r="N101" s="1529"/>
      <c r="O101" s="1529"/>
      <c r="P101" s="1529"/>
      <c r="Q101" s="1529"/>
      <c r="R101" s="1529"/>
      <c r="S101" s="1409" t="s">
        <v>2221</v>
      </c>
      <c r="T101" s="1529"/>
      <c r="U101" s="1529"/>
      <c r="V101" s="1529"/>
      <c r="W101" s="1529"/>
      <c r="X101" s="1529"/>
      <c r="Y101" s="1529"/>
      <c r="Z101" s="1529"/>
      <c r="AA101" s="1529"/>
      <c r="AB101" s="1529"/>
      <c r="AC101" s="1529"/>
      <c r="AD101" s="1529"/>
      <c r="AE101" s="1529"/>
      <c r="AF101" s="1529"/>
      <c r="AG101" s="1529"/>
    </row>
    <row r="102" spans="1:33" ht="43.5" hidden="1" thickBot="1">
      <c r="A102" s="1529"/>
      <c r="B102" s="1533"/>
      <c r="C102" s="1529"/>
      <c r="D102" s="1409" t="s">
        <v>2222</v>
      </c>
      <c r="E102" s="1409" t="s">
        <v>2129</v>
      </c>
      <c r="F102" s="1409" t="s">
        <v>2129</v>
      </c>
      <c r="G102" s="1409" t="s">
        <v>2129</v>
      </c>
      <c r="H102" s="1409" t="s">
        <v>2129</v>
      </c>
      <c r="I102" s="1409" t="s">
        <v>2129</v>
      </c>
      <c r="J102" s="1409" t="s">
        <v>2129</v>
      </c>
      <c r="K102" s="1409" t="s">
        <v>2129</v>
      </c>
      <c r="L102" s="1409" t="s">
        <v>2215</v>
      </c>
      <c r="M102" s="1409">
        <v>876</v>
      </c>
      <c r="N102" s="1409">
        <v>1</v>
      </c>
      <c r="O102" s="1409">
        <v>1</v>
      </c>
      <c r="P102" s="1409"/>
      <c r="Q102" s="1409"/>
      <c r="R102" s="1409"/>
      <c r="S102" s="1409" t="s">
        <v>2129</v>
      </c>
      <c r="T102" s="1409" t="s">
        <v>2129</v>
      </c>
      <c r="U102" s="1409" t="s">
        <v>2129</v>
      </c>
      <c r="V102" s="1409" t="s">
        <v>2129</v>
      </c>
      <c r="W102" s="1409" t="s">
        <v>2129</v>
      </c>
      <c r="X102" s="1409" t="s">
        <v>2129</v>
      </c>
      <c r="Y102" s="1409" t="s">
        <v>2129</v>
      </c>
      <c r="Z102" s="1409" t="s">
        <v>2129</v>
      </c>
      <c r="AA102" s="1409" t="s">
        <v>2129</v>
      </c>
      <c r="AB102" s="1409" t="s">
        <v>2129</v>
      </c>
      <c r="AC102" s="1409" t="s">
        <v>2129</v>
      </c>
      <c r="AD102" s="1409" t="s">
        <v>2129</v>
      </c>
      <c r="AE102" s="1409" t="s">
        <v>2129</v>
      </c>
      <c r="AF102" s="1409" t="s">
        <v>2129</v>
      </c>
      <c r="AG102" s="1409" t="s">
        <v>2129</v>
      </c>
    </row>
    <row r="103" spans="1:33" ht="25.5" hidden="1" customHeight="1">
      <c r="A103" s="1528">
        <v>22</v>
      </c>
      <c r="B103" s="1531">
        <v>1.7224300000000002E+35</v>
      </c>
      <c r="C103" s="1528" t="s">
        <v>2223</v>
      </c>
      <c r="D103" s="1528" t="s">
        <v>2224</v>
      </c>
      <c r="E103" s="1528">
        <v>6632</v>
      </c>
      <c r="F103" s="1528"/>
      <c r="G103" s="1528">
        <v>6632</v>
      </c>
      <c r="H103" s="1528">
        <v>6632</v>
      </c>
      <c r="I103" s="1528">
        <v>0</v>
      </c>
      <c r="J103" s="1528">
        <v>0</v>
      </c>
      <c r="K103" s="1528">
        <v>0</v>
      </c>
      <c r="L103" s="1528" t="s">
        <v>2129</v>
      </c>
      <c r="M103" s="1528" t="s">
        <v>2129</v>
      </c>
      <c r="N103" s="1528" t="s">
        <v>2129</v>
      </c>
      <c r="O103" s="1528" t="s">
        <v>2129</v>
      </c>
      <c r="P103" s="1528" t="s">
        <v>2129</v>
      </c>
      <c r="Q103" s="1528" t="s">
        <v>2129</v>
      </c>
      <c r="R103" s="1528" t="s">
        <v>2129</v>
      </c>
      <c r="S103" s="1410" t="s">
        <v>2163</v>
      </c>
      <c r="T103" s="1528"/>
      <c r="U103" s="1528"/>
      <c r="V103" s="1528">
        <v>6.2016999999999998</v>
      </c>
      <c r="W103" s="1528">
        <v>7.2016999999999998</v>
      </c>
      <c r="X103" s="1528" t="s">
        <v>2131</v>
      </c>
      <c r="Y103" s="1528" t="s">
        <v>2132</v>
      </c>
      <c r="Z103" s="1528" t="s">
        <v>2132</v>
      </c>
      <c r="AA103" s="1528"/>
      <c r="AB103" s="1528"/>
      <c r="AC103" s="1528"/>
      <c r="AD103" s="1528"/>
      <c r="AE103" s="1528"/>
      <c r="AF103" s="1528"/>
      <c r="AG103" s="1528"/>
    </row>
    <row r="104" spans="1:33" ht="93" hidden="1" thickBot="1">
      <c r="A104" s="1530"/>
      <c r="B104" s="1532"/>
      <c r="C104" s="1530"/>
      <c r="D104" s="1529"/>
      <c r="E104" s="1529"/>
      <c r="F104" s="1529"/>
      <c r="G104" s="1529"/>
      <c r="H104" s="1529"/>
      <c r="I104" s="1529"/>
      <c r="J104" s="1529"/>
      <c r="K104" s="1529"/>
      <c r="L104" s="1529"/>
      <c r="M104" s="1529"/>
      <c r="N104" s="1529"/>
      <c r="O104" s="1529"/>
      <c r="P104" s="1529"/>
      <c r="Q104" s="1529"/>
      <c r="R104" s="1529"/>
      <c r="S104" s="1409" t="s">
        <v>2213</v>
      </c>
      <c r="T104" s="1529"/>
      <c r="U104" s="1529"/>
      <c r="V104" s="1529"/>
      <c r="W104" s="1529"/>
      <c r="X104" s="1529"/>
      <c r="Y104" s="1529"/>
      <c r="Z104" s="1529"/>
      <c r="AA104" s="1529"/>
      <c r="AB104" s="1529"/>
      <c r="AC104" s="1529"/>
      <c r="AD104" s="1529"/>
      <c r="AE104" s="1529"/>
      <c r="AF104" s="1529"/>
      <c r="AG104" s="1529"/>
    </row>
    <row r="105" spans="1:33" ht="35.25" hidden="1" thickBot="1">
      <c r="A105" s="1529"/>
      <c r="B105" s="1533"/>
      <c r="C105" s="1529"/>
      <c r="D105" s="1409" t="s">
        <v>2225</v>
      </c>
      <c r="E105" s="1409" t="s">
        <v>2129</v>
      </c>
      <c r="F105" s="1409" t="s">
        <v>2129</v>
      </c>
      <c r="G105" s="1409" t="s">
        <v>2129</v>
      </c>
      <c r="H105" s="1409" t="s">
        <v>2129</v>
      </c>
      <c r="I105" s="1409" t="s">
        <v>2129</v>
      </c>
      <c r="J105" s="1409" t="s">
        <v>2129</v>
      </c>
      <c r="K105" s="1409" t="s">
        <v>2129</v>
      </c>
      <c r="L105" s="1409" t="s">
        <v>2166</v>
      </c>
      <c r="M105" s="1409">
        <v>796</v>
      </c>
      <c r="N105" s="1409">
        <v>5</v>
      </c>
      <c r="O105" s="1409">
        <v>5</v>
      </c>
      <c r="P105" s="1409"/>
      <c r="Q105" s="1409"/>
      <c r="R105" s="1409"/>
      <c r="S105" s="1409" t="s">
        <v>2129</v>
      </c>
      <c r="T105" s="1409" t="s">
        <v>2129</v>
      </c>
      <c r="U105" s="1409" t="s">
        <v>2129</v>
      </c>
      <c r="V105" s="1409" t="s">
        <v>2129</v>
      </c>
      <c r="W105" s="1409" t="s">
        <v>2129</v>
      </c>
      <c r="X105" s="1409" t="s">
        <v>2129</v>
      </c>
      <c r="Y105" s="1409" t="s">
        <v>2129</v>
      </c>
      <c r="Z105" s="1409" t="s">
        <v>2129</v>
      </c>
      <c r="AA105" s="1409" t="s">
        <v>2129</v>
      </c>
      <c r="AB105" s="1409" t="s">
        <v>2129</v>
      </c>
      <c r="AC105" s="1409" t="s">
        <v>2129</v>
      </c>
      <c r="AD105" s="1409" t="s">
        <v>2129</v>
      </c>
      <c r="AE105" s="1409" t="s">
        <v>2129</v>
      </c>
      <c r="AF105" s="1409" t="s">
        <v>2129</v>
      </c>
      <c r="AG105" s="1409" t="s">
        <v>2129</v>
      </c>
    </row>
    <row r="106" spans="1:33" ht="25.5" hidden="1" customHeight="1">
      <c r="A106" s="1528">
        <v>23</v>
      </c>
      <c r="B106" s="1531">
        <v>1.7224300000000002E+35</v>
      </c>
      <c r="C106" s="1528" t="s">
        <v>2226</v>
      </c>
      <c r="D106" s="1528" t="s">
        <v>2227</v>
      </c>
      <c r="E106" s="1528">
        <v>15328.69</v>
      </c>
      <c r="F106" s="1528"/>
      <c r="G106" s="1528">
        <v>15328.69</v>
      </c>
      <c r="H106" s="1528">
        <v>15328.69</v>
      </c>
      <c r="I106" s="1528">
        <v>0</v>
      </c>
      <c r="J106" s="1528">
        <v>0</v>
      </c>
      <c r="K106" s="1528">
        <v>0</v>
      </c>
      <c r="L106" s="1528" t="s">
        <v>2129</v>
      </c>
      <c r="M106" s="1528" t="s">
        <v>2129</v>
      </c>
      <c r="N106" s="1528" t="s">
        <v>2129</v>
      </c>
      <c r="O106" s="1528" t="s">
        <v>2129</v>
      </c>
      <c r="P106" s="1528" t="s">
        <v>2129</v>
      </c>
      <c r="Q106" s="1528" t="s">
        <v>2129</v>
      </c>
      <c r="R106" s="1528" t="s">
        <v>2129</v>
      </c>
      <c r="S106" s="1410" t="s">
        <v>2163</v>
      </c>
      <c r="T106" s="1528"/>
      <c r="U106" s="1528"/>
      <c r="V106" s="1528">
        <v>3.2017000000000002</v>
      </c>
      <c r="W106" s="1528">
        <v>9.2017000000000007</v>
      </c>
      <c r="X106" s="1528" t="s">
        <v>2131</v>
      </c>
      <c r="Y106" s="1528" t="s">
        <v>2132</v>
      </c>
      <c r="Z106" s="1528" t="s">
        <v>2132</v>
      </c>
      <c r="AA106" s="1528"/>
      <c r="AB106" s="1528"/>
      <c r="AC106" s="1528"/>
      <c r="AD106" s="1528" t="s">
        <v>2133</v>
      </c>
      <c r="AE106" s="1410" t="s">
        <v>2134</v>
      </c>
      <c r="AF106" s="1528"/>
      <c r="AG106" s="1528"/>
    </row>
    <row r="107" spans="1:33" ht="93" hidden="1" thickBot="1">
      <c r="A107" s="1530"/>
      <c r="B107" s="1532"/>
      <c r="C107" s="1530"/>
      <c r="D107" s="1529"/>
      <c r="E107" s="1529"/>
      <c r="F107" s="1529"/>
      <c r="G107" s="1529"/>
      <c r="H107" s="1529"/>
      <c r="I107" s="1529"/>
      <c r="J107" s="1529"/>
      <c r="K107" s="1529"/>
      <c r="L107" s="1529"/>
      <c r="M107" s="1529"/>
      <c r="N107" s="1529"/>
      <c r="O107" s="1529"/>
      <c r="P107" s="1529"/>
      <c r="Q107" s="1529"/>
      <c r="R107" s="1529"/>
      <c r="S107" s="1409" t="s">
        <v>2228</v>
      </c>
      <c r="T107" s="1529"/>
      <c r="U107" s="1529"/>
      <c r="V107" s="1529"/>
      <c r="W107" s="1529"/>
      <c r="X107" s="1529"/>
      <c r="Y107" s="1529"/>
      <c r="Z107" s="1529"/>
      <c r="AA107" s="1529"/>
      <c r="AB107" s="1529"/>
      <c r="AC107" s="1529"/>
      <c r="AD107" s="1529"/>
      <c r="AE107" s="1409" t="s">
        <v>2136</v>
      </c>
      <c r="AF107" s="1529"/>
      <c r="AG107" s="1529"/>
    </row>
    <row r="108" spans="1:33" ht="27" hidden="1" thickBot="1">
      <c r="A108" s="1529"/>
      <c r="B108" s="1533"/>
      <c r="C108" s="1529"/>
      <c r="D108" s="1409" t="s">
        <v>2227</v>
      </c>
      <c r="E108" s="1409" t="s">
        <v>2129</v>
      </c>
      <c r="F108" s="1409" t="s">
        <v>2129</v>
      </c>
      <c r="G108" s="1409" t="s">
        <v>2129</v>
      </c>
      <c r="H108" s="1409" t="s">
        <v>2129</v>
      </c>
      <c r="I108" s="1409" t="s">
        <v>2129</v>
      </c>
      <c r="J108" s="1409" t="s">
        <v>2129</v>
      </c>
      <c r="K108" s="1409" t="s">
        <v>2129</v>
      </c>
      <c r="L108" s="1409" t="s">
        <v>2166</v>
      </c>
      <c r="M108" s="1409">
        <v>796</v>
      </c>
      <c r="N108" s="1409">
        <v>4</v>
      </c>
      <c r="O108" s="1409">
        <v>4</v>
      </c>
      <c r="P108" s="1409"/>
      <c r="Q108" s="1409"/>
      <c r="R108" s="1409"/>
      <c r="S108" s="1409" t="s">
        <v>2129</v>
      </c>
      <c r="T108" s="1409" t="s">
        <v>2129</v>
      </c>
      <c r="U108" s="1409" t="s">
        <v>2129</v>
      </c>
      <c r="V108" s="1409" t="s">
        <v>2129</v>
      </c>
      <c r="W108" s="1409" t="s">
        <v>2129</v>
      </c>
      <c r="X108" s="1409" t="s">
        <v>2129</v>
      </c>
      <c r="Y108" s="1409" t="s">
        <v>2129</v>
      </c>
      <c r="Z108" s="1409" t="s">
        <v>2129</v>
      </c>
      <c r="AA108" s="1409" t="s">
        <v>2129</v>
      </c>
      <c r="AB108" s="1409" t="s">
        <v>2129</v>
      </c>
      <c r="AC108" s="1409" t="s">
        <v>2129</v>
      </c>
      <c r="AD108" s="1409" t="s">
        <v>2129</v>
      </c>
      <c r="AE108" s="1409" t="s">
        <v>2129</v>
      </c>
      <c r="AF108" s="1409" t="s">
        <v>2129</v>
      </c>
      <c r="AG108" s="1409" t="s">
        <v>2129</v>
      </c>
    </row>
    <row r="109" spans="1:33" ht="25.5" hidden="1" customHeight="1">
      <c r="A109" s="1528">
        <v>24</v>
      </c>
      <c r="B109" s="1531">
        <v>1.7224300000000002E+35</v>
      </c>
      <c r="C109" s="1528" t="s">
        <v>2229</v>
      </c>
      <c r="D109" s="1528" t="s">
        <v>2230</v>
      </c>
      <c r="E109" s="1528">
        <v>132732</v>
      </c>
      <c r="F109" s="1528"/>
      <c r="G109" s="1528">
        <v>132732</v>
      </c>
      <c r="H109" s="1528">
        <v>132732</v>
      </c>
      <c r="I109" s="1528">
        <v>0</v>
      </c>
      <c r="J109" s="1528">
        <v>0</v>
      </c>
      <c r="K109" s="1528">
        <v>0</v>
      </c>
      <c r="L109" s="1528" t="s">
        <v>2129</v>
      </c>
      <c r="M109" s="1528" t="s">
        <v>2129</v>
      </c>
      <c r="N109" s="1528" t="s">
        <v>2129</v>
      </c>
      <c r="O109" s="1528" t="s">
        <v>2129</v>
      </c>
      <c r="P109" s="1528" t="s">
        <v>2129</v>
      </c>
      <c r="Q109" s="1528" t="s">
        <v>2129</v>
      </c>
      <c r="R109" s="1528" t="s">
        <v>2129</v>
      </c>
      <c r="S109" s="1410" t="s">
        <v>2163</v>
      </c>
      <c r="T109" s="1528"/>
      <c r="U109" s="1528"/>
      <c r="V109" s="1528">
        <v>6.2016999999999998</v>
      </c>
      <c r="W109" s="1528">
        <v>7.2016999999999998</v>
      </c>
      <c r="X109" s="1528" t="s">
        <v>2131</v>
      </c>
      <c r="Y109" s="1528" t="s">
        <v>2132</v>
      </c>
      <c r="Z109" s="1528" t="s">
        <v>2132</v>
      </c>
      <c r="AA109" s="1528"/>
      <c r="AB109" s="1528"/>
      <c r="AC109" s="1528"/>
      <c r="AD109" s="1528"/>
      <c r="AE109" s="1410" t="s">
        <v>2134</v>
      </c>
      <c r="AF109" s="1528"/>
      <c r="AG109" s="1528"/>
    </row>
    <row r="110" spans="1:33" ht="84.75" hidden="1" thickBot="1">
      <c r="A110" s="1530"/>
      <c r="B110" s="1532"/>
      <c r="C110" s="1530"/>
      <c r="D110" s="1529"/>
      <c r="E110" s="1529"/>
      <c r="F110" s="1529"/>
      <c r="G110" s="1529"/>
      <c r="H110" s="1529"/>
      <c r="I110" s="1529"/>
      <c r="J110" s="1529"/>
      <c r="K110" s="1529"/>
      <c r="L110" s="1529"/>
      <c r="M110" s="1529"/>
      <c r="N110" s="1529"/>
      <c r="O110" s="1529"/>
      <c r="P110" s="1529"/>
      <c r="Q110" s="1529"/>
      <c r="R110" s="1529"/>
      <c r="S110" s="1409" t="s">
        <v>2231</v>
      </c>
      <c r="T110" s="1529"/>
      <c r="U110" s="1529"/>
      <c r="V110" s="1529"/>
      <c r="W110" s="1529"/>
      <c r="X110" s="1529"/>
      <c r="Y110" s="1529"/>
      <c r="Z110" s="1529"/>
      <c r="AA110" s="1529"/>
      <c r="AB110" s="1529"/>
      <c r="AC110" s="1529"/>
      <c r="AD110" s="1529"/>
      <c r="AE110" s="1409" t="s">
        <v>2136</v>
      </c>
      <c r="AF110" s="1529"/>
      <c r="AG110" s="1529"/>
    </row>
    <row r="111" spans="1:33" ht="35.25" hidden="1" thickBot="1">
      <c r="A111" s="1529"/>
      <c r="B111" s="1533"/>
      <c r="C111" s="1529"/>
      <c r="D111" s="1409" t="s">
        <v>2230</v>
      </c>
      <c r="E111" s="1409" t="s">
        <v>2129</v>
      </c>
      <c r="F111" s="1409" t="s">
        <v>2129</v>
      </c>
      <c r="G111" s="1409" t="s">
        <v>2129</v>
      </c>
      <c r="H111" s="1409" t="s">
        <v>2129</v>
      </c>
      <c r="I111" s="1409" t="s">
        <v>2129</v>
      </c>
      <c r="J111" s="1409" t="s">
        <v>2129</v>
      </c>
      <c r="K111" s="1409" t="s">
        <v>2129</v>
      </c>
      <c r="L111" s="1409" t="s">
        <v>2232</v>
      </c>
      <c r="M111" s="1409">
        <v>792</v>
      </c>
      <c r="N111" s="1409">
        <v>100</v>
      </c>
      <c r="O111" s="1409">
        <v>100</v>
      </c>
      <c r="P111" s="1409"/>
      <c r="Q111" s="1409"/>
      <c r="R111" s="1409"/>
      <c r="S111" s="1409" t="s">
        <v>2129</v>
      </c>
      <c r="T111" s="1409" t="s">
        <v>2129</v>
      </c>
      <c r="U111" s="1409" t="s">
        <v>2129</v>
      </c>
      <c r="V111" s="1409" t="s">
        <v>2129</v>
      </c>
      <c r="W111" s="1409" t="s">
        <v>2129</v>
      </c>
      <c r="X111" s="1409" t="s">
        <v>2129</v>
      </c>
      <c r="Y111" s="1409" t="s">
        <v>2129</v>
      </c>
      <c r="Z111" s="1409" t="s">
        <v>2129</v>
      </c>
      <c r="AA111" s="1409" t="s">
        <v>2129</v>
      </c>
      <c r="AB111" s="1409" t="s">
        <v>2129</v>
      </c>
      <c r="AC111" s="1409" t="s">
        <v>2129</v>
      </c>
      <c r="AD111" s="1409" t="s">
        <v>2129</v>
      </c>
      <c r="AE111" s="1409" t="s">
        <v>2129</v>
      </c>
      <c r="AF111" s="1409" t="s">
        <v>2129</v>
      </c>
      <c r="AG111" s="1409" t="s">
        <v>2129</v>
      </c>
    </row>
    <row r="112" spans="1:33" ht="25.5" hidden="1" customHeight="1">
      <c r="A112" s="1528">
        <v>25</v>
      </c>
      <c r="B112" s="1531">
        <v>1.7224300000000002E+35</v>
      </c>
      <c r="C112" s="1528" t="s">
        <v>2233</v>
      </c>
      <c r="D112" s="1528" t="s">
        <v>2234</v>
      </c>
      <c r="E112" s="1528">
        <v>16992</v>
      </c>
      <c r="F112" s="1528"/>
      <c r="G112" s="1528">
        <v>16992</v>
      </c>
      <c r="H112" s="1528">
        <v>16992</v>
      </c>
      <c r="I112" s="1528">
        <v>0</v>
      </c>
      <c r="J112" s="1528">
        <v>0</v>
      </c>
      <c r="K112" s="1528">
        <v>0</v>
      </c>
      <c r="L112" s="1528" t="s">
        <v>2129</v>
      </c>
      <c r="M112" s="1528" t="s">
        <v>2129</v>
      </c>
      <c r="N112" s="1528" t="s">
        <v>2129</v>
      </c>
      <c r="O112" s="1528" t="s">
        <v>2129</v>
      </c>
      <c r="P112" s="1528" t="s">
        <v>2129</v>
      </c>
      <c r="Q112" s="1528" t="s">
        <v>2129</v>
      </c>
      <c r="R112" s="1528" t="s">
        <v>2129</v>
      </c>
      <c r="S112" s="1410" t="s">
        <v>2130</v>
      </c>
      <c r="T112" s="1528"/>
      <c r="U112" s="1528"/>
      <c r="V112" s="1528">
        <v>1.2017</v>
      </c>
      <c r="W112" s="1528">
        <v>9.2017000000000007</v>
      </c>
      <c r="X112" s="1528" t="s">
        <v>2131</v>
      </c>
      <c r="Y112" s="1528" t="s">
        <v>2132</v>
      </c>
      <c r="Z112" s="1528" t="s">
        <v>2132</v>
      </c>
      <c r="AA112" s="1528"/>
      <c r="AB112" s="1528"/>
      <c r="AC112" s="1528"/>
      <c r="AD112" s="1528" t="s">
        <v>2133</v>
      </c>
      <c r="AE112" s="1410" t="s">
        <v>2134</v>
      </c>
      <c r="AF112" s="1528"/>
      <c r="AG112" s="1528"/>
    </row>
    <row r="113" spans="1:33" ht="84.75" hidden="1" thickBot="1">
      <c r="A113" s="1530"/>
      <c r="B113" s="1532"/>
      <c r="C113" s="1530"/>
      <c r="D113" s="1529"/>
      <c r="E113" s="1529"/>
      <c r="F113" s="1529"/>
      <c r="G113" s="1529"/>
      <c r="H113" s="1529"/>
      <c r="I113" s="1529"/>
      <c r="J113" s="1529"/>
      <c r="K113" s="1529"/>
      <c r="L113" s="1529"/>
      <c r="M113" s="1529"/>
      <c r="N113" s="1529"/>
      <c r="O113" s="1529"/>
      <c r="P113" s="1529"/>
      <c r="Q113" s="1529"/>
      <c r="R113" s="1529"/>
      <c r="S113" s="1409" t="s">
        <v>2235</v>
      </c>
      <c r="T113" s="1529"/>
      <c r="U113" s="1529"/>
      <c r="V113" s="1529"/>
      <c r="W113" s="1529"/>
      <c r="X113" s="1529"/>
      <c r="Y113" s="1529"/>
      <c r="Z113" s="1529"/>
      <c r="AA113" s="1529"/>
      <c r="AB113" s="1529"/>
      <c r="AC113" s="1529"/>
      <c r="AD113" s="1529"/>
      <c r="AE113" s="1409" t="s">
        <v>2136</v>
      </c>
      <c r="AF113" s="1529"/>
      <c r="AG113" s="1529"/>
    </row>
    <row r="114" spans="1:33" ht="27" hidden="1" thickBot="1">
      <c r="A114" s="1529"/>
      <c r="B114" s="1533"/>
      <c r="C114" s="1529"/>
      <c r="D114" s="1409" t="s">
        <v>2236</v>
      </c>
      <c r="E114" s="1409" t="s">
        <v>2129</v>
      </c>
      <c r="F114" s="1409" t="s">
        <v>2129</v>
      </c>
      <c r="G114" s="1409" t="s">
        <v>2129</v>
      </c>
      <c r="H114" s="1409" t="s">
        <v>2129</v>
      </c>
      <c r="I114" s="1409" t="s">
        <v>2129</v>
      </c>
      <c r="J114" s="1409" t="s">
        <v>2129</v>
      </c>
      <c r="K114" s="1409" t="s">
        <v>2129</v>
      </c>
      <c r="L114" s="1409" t="s">
        <v>2232</v>
      </c>
      <c r="M114" s="1409">
        <v>792</v>
      </c>
      <c r="N114" s="1409">
        <v>2</v>
      </c>
      <c r="O114" s="1409">
        <v>2</v>
      </c>
      <c r="P114" s="1409"/>
      <c r="Q114" s="1409"/>
      <c r="R114" s="1409"/>
      <c r="S114" s="1409" t="s">
        <v>2129</v>
      </c>
      <c r="T114" s="1409" t="s">
        <v>2129</v>
      </c>
      <c r="U114" s="1409" t="s">
        <v>2129</v>
      </c>
      <c r="V114" s="1409" t="s">
        <v>2129</v>
      </c>
      <c r="W114" s="1409" t="s">
        <v>2129</v>
      </c>
      <c r="X114" s="1409" t="s">
        <v>2129</v>
      </c>
      <c r="Y114" s="1409" t="s">
        <v>2129</v>
      </c>
      <c r="Z114" s="1409" t="s">
        <v>2129</v>
      </c>
      <c r="AA114" s="1409" t="s">
        <v>2129</v>
      </c>
      <c r="AB114" s="1409" t="s">
        <v>2129</v>
      </c>
      <c r="AC114" s="1409" t="s">
        <v>2129</v>
      </c>
      <c r="AD114" s="1409" t="s">
        <v>2129</v>
      </c>
      <c r="AE114" s="1409" t="s">
        <v>2129</v>
      </c>
      <c r="AF114" s="1409" t="s">
        <v>2129</v>
      </c>
      <c r="AG114" s="1409" t="s">
        <v>2129</v>
      </c>
    </row>
    <row r="115" spans="1:33" ht="25.5" hidden="1" customHeight="1">
      <c r="A115" s="1528">
        <v>26</v>
      </c>
      <c r="B115" s="1531">
        <v>1.7224300000000002E+35</v>
      </c>
      <c r="C115" s="1528" t="s">
        <v>2237</v>
      </c>
      <c r="D115" s="1528" t="s">
        <v>2238</v>
      </c>
      <c r="E115" s="1528">
        <v>29400</v>
      </c>
      <c r="F115" s="1528"/>
      <c r="G115" s="1528">
        <v>29400</v>
      </c>
      <c r="H115" s="1528">
        <v>29400</v>
      </c>
      <c r="I115" s="1528">
        <v>0</v>
      </c>
      <c r="J115" s="1528">
        <v>0</v>
      </c>
      <c r="K115" s="1528">
        <v>0</v>
      </c>
      <c r="L115" s="1528" t="s">
        <v>2129</v>
      </c>
      <c r="M115" s="1528" t="s">
        <v>2129</v>
      </c>
      <c r="N115" s="1528" t="s">
        <v>2129</v>
      </c>
      <c r="O115" s="1528" t="s">
        <v>2129</v>
      </c>
      <c r="P115" s="1528" t="s">
        <v>2129</v>
      </c>
      <c r="Q115" s="1528" t="s">
        <v>2129</v>
      </c>
      <c r="R115" s="1528" t="s">
        <v>2129</v>
      </c>
      <c r="S115" s="1410" t="s">
        <v>2130</v>
      </c>
      <c r="T115" s="1528"/>
      <c r="U115" s="1528"/>
      <c r="V115" s="1528">
        <v>1.2017</v>
      </c>
      <c r="W115" s="1528">
        <v>12.201700000000001</v>
      </c>
      <c r="X115" s="1528" t="s">
        <v>2131</v>
      </c>
      <c r="Y115" s="1528" t="s">
        <v>2132</v>
      </c>
      <c r="Z115" s="1528" t="s">
        <v>2132</v>
      </c>
      <c r="AA115" s="1528"/>
      <c r="AB115" s="1528"/>
      <c r="AC115" s="1528"/>
      <c r="AD115" s="1528"/>
      <c r="AE115" s="1528"/>
      <c r="AF115" s="1528"/>
      <c r="AG115" s="1528"/>
    </row>
    <row r="116" spans="1:33" ht="84.75" hidden="1" thickBot="1">
      <c r="A116" s="1530"/>
      <c r="B116" s="1532"/>
      <c r="C116" s="1530"/>
      <c r="D116" s="1529"/>
      <c r="E116" s="1529"/>
      <c r="F116" s="1529"/>
      <c r="G116" s="1529"/>
      <c r="H116" s="1529"/>
      <c r="I116" s="1529"/>
      <c r="J116" s="1529"/>
      <c r="K116" s="1529"/>
      <c r="L116" s="1529"/>
      <c r="M116" s="1529"/>
      <c r="N116" s="1529"/>
      <c r="O116" s="1529"/>
      <c r="P116" s="1529"/>
      <c r="Q116" s="1529"/>
      <c r="R116" s="1529"/>
      <c r="S116" s="1409" t="s">
        <v>2239</v>
      </c>
      <c r="T116" s="1529"/>
      <c r="U116" s="1529"/>
      <c r="V116" s="1529"/>
      <c r="W116" s="1529"/>
      <c r="X116" s="1529"/>
      <c r="Y116" s="1529"/>
      <c r="Z116" s="1529"/>
      <c r="AA116" s="1529"/>
      <c r="AB116" s="1529"/>
      <c r="AC116" s="1529"/>
      <c r="AD116" s="1529"/>
      <c r="AE116" s="1529"/>
      <c r="AF116" s="1529"/>
      <c r="AG116" s="1529"/>
    </row>
    <row r="117" spans="1:33" ht="15.75" hidden="1" thickBot="1">
      <c r="A117" s="1529"/>
      <c r="B117" s="1533"/>
      <c r="C117" s="1529"/>
      <c r="D117" s="1409" t="s">
        <v>2240</v>
      </c>
      <c r="E117" s="1409" t="s">
        <v>2129</v>
      </c>
      <c r="F117" s="1409" t="s">
        <v>2129</v>
      </c>
      <c r="G117" s="1409" t="s">
        <v>2129</v>
      </c>
      <c r="H117" s="1409" t="s">
        <v>2129</v>
      </c>
      <c r="I117" s="1409" t="s">
        <v>2129</v>
      </c>
      <c r="J117" s="1409" t="s">
        <v>2129</v>
      </c>
      <c r="K117" s="1409" t="s">
        <v>2129</v>
      </c>
      <c r="L117" s="1409" t="s">
        <v>2166</v>
      </c>
      <c r="M117" s="1409">
        <v>796</v>
      </c>
      <c r="N117" s="1409">
        <v>1</v>
      </c>
      <c r="O117" s="1409">
        <v>1</v>
      </c>
      <c r="P117" s="1409"/>
      <c r="Q117" s="1409"/>
      <c r="R117" s="1409"/>
      <c r="S117" s="1409" t="s">
        <v>2129</v>
      </c>
      <c r="T117" s="1409" t="s">
        <v>2129</v>
      </c>
      <c r="U117" s="1409" t="s">
        <v>2129</v>
      </c>
      <c r="V117" s="1409" t="s">
        <v>2129</v>
      </c>
      <c r="W117" s="1409" t="s">
        <v>2129</v>
      </c>
      <c r="X117" s="1409" t="s">
        <v>2129</v>
      </c>
      <c r="Y117" s="1409" t="s">
        <v>2129</v>
      </c>
      <c r="Z117" s="1409" t="s">
        <v>2129</v>
      </c>
      <c r="AA117" s="1409" t="s">
        <v>2129</v>
      </c>
      <c r="AB117" s="1409" t="s">
        <v>2129</v>
      </c>
      <c r="AC117" s="1409" t="s">
        <v>2129</v>
      </c>
      <c r="AD117" s="1409" t="s">
        <v>2129</v>
      </c>
      <c r="AE117" s="1409" t="s">
        <v>2129</v>
      </c>
      <c r="AF117" s="1409" t="s">
        <v>2129</v>
      </c>
      <c r="AG117" s="1409" t="s">
        <v>2129</v>
      </c>
    </row>
    <row r="118" spans="1:33" ht="25.5" hidden="1" customHeight="1">
      <c r="A118" s="1528">
        <v>27</v>
      </c>
      <c r="B118" s="1531">
        <v>1.7224300000000002E+35</v>
      </c>
      <c r="C118" s="1528" t="s">
        <v>2241</v>
      </c>
      <c r="D118" s="1528" t="s">
        <v>2242</v>
      </c>
      <c r="E118" s="1528">
        <v>18264.11</v>
      </c>
      <c r="F118" s="1528"/>
      <c r="G118" s="1528">
        <v>18264.11</v>
      </c>
      <c r="H118" s="1528">
        <v>18264.11</v>
      </c>
      <c r="I118" s="1528">
        <v>0</v>
      </c>
      <c r="J118" s="1528">
        <v>0</v>
      </c>
      <c r="K118" s="1528">
        <v>0</v>
      </c>
      <c r="L118" s="1528" t="s">
        <v>2129</v>
      </c>
      <c r="M118" s="1528" t="s">
        <v>2129</v>
      </c>
      <c r="N118" s="1528" t="s">
        <v>2129</v>
      </c>
      <c r="O118" s="1528" t="s">
        <v>2129</v>
      </c>
      <c r="P118" s="1528" t="s">
        <v>2129</v>
      </c>
      <c r="Q118" s="1528" t="s">
        <v>2129</v>
      </c>
      <c r="R118" s="1528" t="s">
        <v>2129</v>
      </c>
      <c r="S118" s="1410" t="s">
        <v>2243</v>
      </c>
      <c r="T118" s="1528"/>
      <c r="U118" s="1528"/>
      <c r="V118" s="1528">
        <v>5.2016999999999998</v>
      </c>
      <c r="W118" s="1528">
        <v>12.201700000000001</v>
      </c>
      <c r="X118" s="1528" t="s">
        <v>2131</v>
      </c>
      <c r="Y118" s="1528" t="s">
        <v>2132</v>
      </c>
      <c r="Z118" s="1528" t="s">
        <v>2132</v>
      </c>
      <c r="AA118" s="1528"/>
      <c r="AB118" s="1528"/>
      <c r="AC118" s="1528"/>
      <c r="AD118" s="1528" t="s">
        <v>2133</v>
      </c>
      <c r="AE118" s="1410" t="s">
        <v>2134</v>
      </c>
      <c r="AF118" s="1528"/>
      <c r="AG118" s="1528"/>
    </row>
    <row r="119" spans="1:33" ht="84.75" hidden="1" thickBot="1">
      <c r="A119" s="1530"/>
      <c r="B119" s="1532"/>
      <c r="C119" s="1530"/>
      <c r="D119" s="1529"/>
      <c r="E119" s="1529"/>
      <c r="F119" s="1529"/>
      <c r="G119" s="1529"/>
      <c r="H119" s="1529"/>
      <c r="I119" s="1529"/>
      <c r="J119" s="1529"/>
      <c r="K119" s="1529"/>
      <c r="L119" s="1529"/>
      <c r="M119" s="1529"/>
      <c r="N119" s="1529"/>
      <c r="O119" s="1529"/>
      <c r="P119" s="1529"/>
      <c r="Q119" s="1529"/>
      <c r="R119" s="1529"/>
      <c r="S119" s="1409" t="s">
        <v>2239</v>
      </c>
      <c r="T119" s="1529"/>
      <c r="U119" s="1529"/>
      <c r="V119" s="1529"/>
      <c r="W119" s="1529"/>
      <c r="X119" s="1529"/>
      <c r="Y119" s="1529"/>
      <c r="Z119" s="1529"/>
      <c r="AA119" s="1529"/>
      <c r="AB119" s="1529"/>
      <c r="AC119" s="1529"/>
      <c r="AD119" s="1529"/>
      <c r="AE119" s="1409" t="s">
        <v>2136</v>
      </c>
      <c r="AF119" s="1529"/>
      <c r="AG119" s="1529"/>
    </row>
    <row r="120" spans="1:33" ht="27" hidden="1" thickBot="1">
      <c r="A120" s="1530"/>
      <c r="B120" s="1532"/>
      <c r="C120" s="1530"/>
      <c r="D120" s="1409" t="s">
        <v>2244</v>
      </c>
      <c r="E120" s="1409" t="s">
        <v>2129</v>
      </c>
      <c r="F120" s="1409" t="s">
        <v>2129</v>
      </c>
      <c r="G120" s="1409" t="s">
        <v>2129</v>
      </c>
      <c r="H120" s="1409" t="s">
        <v>2129</v>
      </c>
      <c r="I120" s="1409" t="s">
        <v>2129</v>
      </c>
      <c r="J120" s="1409" t="s">
        <v>2129</v>
      </c>
      <c r="K120" s="1409" t="s">
        <v>2129</v>
      </c>
      <c r="L120" s="1409" t="s">
        <v>2166</v>
      </c>
      <c r="M120" s="1409">
        <v>796</v>
      </c>
      <c r="N120" s="1409">
        <v>2</v>
      </c>
      <c r="O120" s="1409">
        <v>2</v>
      </c>
      <c r="P120" s="1409"/>
      <c r="Q120" s="1409"/>
      <c r="R120" s="1409"/>
      <c r="S120" s="1409" t="s">
        <v>2129</v>
      </c>
      <c r="T120" s="1409" t="s">
        <v>2129</v>
      </c>
      <c r="U120" s="1409" t="s">
        <v>2129</v>
      </c>
      <c r="V120" s="1409" t="s">
        <v>2129</v>
      </c>
      <c r="W120" s="1409" t="s">
        <v>2129</v>
      </c>
      <c r="X120" s="1409" t="s">
        <v>2129</v>
      </c>
      <c r="Y120" s="1409" t="s">
        <v>2129</v>
      </c>
      <c r="Z120" s="1409" t="s">
        <v>2129</v>
      </c>
      <c r="AA120" s="1409" t="s">
        <v>2129</v>
      </c>
      <c r="AB120" s="1409" t="s">
        <v>2129</v>
      </c>
      <c r="AC120" s="1409" t="s">
        <v>2129</v>
      </c>
      <c r="AD120" s="1409" t="s">
        <v>2129</v>
      </c>
      <c r="AE120" s="1409" t="s">
        <v>2129</v>
      </c>
      <c r="AF120" s="1409" t="s">
        <v>2129</v>
      </c>
      <c r="AG120" s="1409" t="s">
        <v>2129</v>
      </c>
    </row>
    <row r="121" spans="1:33" ht="27" hidden="1" thickBot="1">
      <c r="A121" s="1530"/>
      <c r="B121" s="1532"/>
      <c r="C121" s="1530"/>
      <c r="D121" s="1409" t="s">
        <v>2245</v>
      </c>
      <c r="E121" s="1409" t="s">
        <v>2129</v>
      </c>
      <c r="F121" s="1409" t="s">
        <v>2129</v>
      </c>
      <c r="G121" s="1409" t="s">
        <v>2129</v>
      </c>
      <c r="H121" s="1409" t="s">
        <v>2129</v>
      </c>
      <c r="I121" s="1409" t="s">
        <v>2129</v>
      </c>
      <c r="J121" s="1409" t="s">
        <v>2129</v>
      </c>
      <c r="K121" s="1409" t="s">
        <v>2129</v>
      </c>
      <c r="L121" s="1409" t="s">
        <v>2166</v>
      </c>
      <c r="M121" s="1409">
        <v>796</v>
      </c>
      <c r="N121" s="1409">
        <v>2</v>
      </c>
      <c r="O121" s="1409">
        <v>2</v>
      </c>
      <c r="P121" s="1409"/>
      <c r="Q121" s="1409"/>
      <c r="R121" s="1409"/>
      <c r="S121" s="1409" t="s">
        <v>2129</v>
      </c>
      <c r="T121" s="1409" t="s">
        <v>2129</v>
      </c>
      <c r="U121" s="1409" t="s">
        <v>2129</v>
      </c>
      <c r="V121" s="1409" t="s">
        <v>2129</v>
      </c>
      <c r="W121" s="1409" t="s">
        <v>2129</v>
      </c>
      <c r="X121" s="1409" t="s">
        <v>2129</v>
      </c>
      <c r="Y121" s="1409" t="s">
        <v>2129</v>
      </c>
      <c r="Z121" s="1409" t="s">
        <v>2129</v>
      </c>
      <c r="AA121" s="1409" t="s">
        <v>2129</v>
      </c>
      <c r="AB121" s="1409" t="s">
        <v>2129</v>
      </c>
      <c r="AC121" s="1409" t="s">
        <v>2129</v>
      </c>
      <c r="AD121" s="1409" t="s">
        <v>2129</v>
      </c>
      <c r="AE121" s="1409" t="s">
        <v>2129</v>
      </c>
      <c r="AF121" s="1409" t="s">
        <v>2129</v>
      </c>
      <c r="AG121" s="1409" t="s">
        <v>2129</v>
      </c>
    </row>
    <row r="122" spans="1:33" ht="15.75" hidden="1" thickBot="1">
      <c r="A122" s="1530"/>
      <c r="B122" s="1532"/>
      <c r="C122" s="1530"/>
      <c r="D122" s="1409" t="s">
        <v>2246</v>
      </c>
      <c r="E122" s="1409" t="s">
        <v>2129</v>
      </c>
      <c r="F122" s="1409" t="s">
        <v>2129</v>
      </c>
      <c r="G122" s="1409" t="s">
        <v>2129</v>
      </c>
      <c r="H122" s="1409" t="s">
        <v>2129</v>
      </c>
      <c r="I122" s="1409" t="s">
        <v>2129</v>
      </c>
      <c r="J122" s="1409" t="s">
        <v>2129</v>
      </c>
      <c r="K122" s="1409" t="s">
        <v>2129</v>
      </c>
      <c r="L122" s="1409" t="s">
        <v>2166</v>
      </c>
      <c r="M122" s="1409">
        <v>796</v>
      </c>
      <c r="N122" s="1409">
        <v>2</v>
      </c>
      <c r="O122" s="1409">
        <v>2</v>
      </c>
      <c r="P122" s="1409"/>
      <c r="Q122" s="1409"/>
      <c r="R122" s="1409"/>
      <c r="S122" s="1409" t="s">
        <v>2129</v>
      </c>
      <c r="T122" s="1409" t="s">
        <v>2129</v>
      </c>
      <c r="U122" s="1409" t="s">
        <v>2129</v>
      </c>
      <c r="V122" s="1409" t="s">
        <v>2129</v>
      </c>
      <c r="W122" s="1409" t="s">
        <v>2129</v>
      </c>
      <c r="X122" s="1409" t="s">
        <v>2129</v>
      </c>
      <c r="Y122" s="1409" t="s">
        <v>2129</v>
      </c>
      <c r="Z122" s="1409" t="s">
        <v>2129</v>
      </c>
      <c r="AA122" s="1409" t="s">
        <v>2129</v>
      </c>
      <c r="AB122" s="1409" t="s">
        <v>2129</v>
      </c>
      <c r="AC122" s="1409" t="s">
        <v>2129</v>
      </c>
      <c r="AD122" s="1409" t="s">
        <v>2129</v>
      </c>
      <c r="AE122" s="1409" t="s">
        <v>2129</v>
      </c>
      <c r="AF122" s="1409" t="s">
        <v>2129</v>
      </c>
      <c r="AG122" s="1409" t="s">
        <v>2129</v>
      </c>
    </row>
    <row r="123" spans="1:33" ht="18.75" hidden="1" thickBot="1">
      <c r="A123" s="1530"/>
      <c r="B123" s="1532"/>
      <c r="C123" s="1530"/>
      <c r="D123" s="1409" t="s">
        <v>2247</v>
      </c>
      <c r="E123" s="1409" t="s">
        <v>2129</v>
      </c>
      <c r="F123" s="1409" t="s">
        <v>2129</v>
      </c>
      <c r="G123" s="1409" t="s">
        <v>2129</v>
      </c>
      <c r="H123" s="1409" t="s">
        <v>2129</v>
      </c>
      <c r="I123" s="1409" t="s">
        <v>2129</v>
      </c>
      <c r="J123" s="1409" t="s">
        <v>2129</v>
      </c>
      <c r="K123" s="1409" t="s">
        <v>2129</v>
      </c>
      <c r="L123" s="1409" t="s">
        <v>2166</v>
      </c>
      <c r="M123" s="1409">
        <v>796</v>
      </c>
      <c r="N123" s="1409">
        <v>2</v>
      </c>
      <c r="O123" s="1409">
        <v>2</v>
      </c>
      <c r="P123" s="1409"/>
      <c r="Q123" s="1409"/>
      <c r="R123" s="1409"/>
      <c r="S123" s="1409" t="s">
        <v>2129</v>
      </c>
      <c r="T123" s="1409" t="s">
        <v>2129</v>
      </c>
      <c r="U123" s="1409" t="s">
        <v>2129</v>
      </c>
      <c r="V123" s="1409" t="s">
        <v>2129</v>
      </c>
      <c r="W123" s="1409" t="s">
        <v>2129</v>
      </c>
      <c r="X123" s="1409" t="s">
        <v>2129</v>
      </c>
      <c r="Y123" s="1409" t="s">
        <v>2129</v>
      </c>
      <c r="Z123" s="1409" t="s">
        <v>2129</v>
      </c>
      <c r="AA123" s="1409" t="s">
        <v>2129</v>
      </c>
      <c r="AB123" s="1409" t="s">
        <v>2129</v>
      </c>
      <c r="AC123" s="1409" t="s">
        <v>2129</v>
      </c>
      <c r="AD123" s="1409" t="s">
        <v>2129</v>
      </c>
      <c r="AE123" s="1409" t="s">
        <v>2129</v>
      </c>
      <c r="AF123" s="1409" t="s">
        <v>2129</v>
      </c>
      <c r="AG123" s="1409" t="s">
        <v>2129</v>
      </c>
    </row>
    <row r="124" spans="1:33" ht="15.75" hidden="1" thickBot="1">
      <c r="A124" s="1530"/>
      <c r="B124" s="1532"/>
      <c r="C124" s="1530"/>
      <c r="D124" s="1409" t="s">
        <v>2248</v>
      </c>
      <c r="E124" s="1409" t="s">
        <v>2129</v>
      </c>
      <c r="F124" s="1409" t="s">
        <v>2129</v>
      </c>
      <c r="G124" s="1409" t="s">
        <v>2129</v>
      </c>
      <c r="H124" s="1409" t="s">
        <v>2129</v>
      </c>
      <c r="I124" s="1409" t="s">
        <v>2129</v>
      </c>
      <c r="J124" s="1409" t="s">
        <v>2129</v>
      </c>
      <c r="K124" s="1409" t="s">
        <v>2129</v>
      </c>
      <c r="L124" s="1409" t="s">
        <v>2166</v>
      </c>
      <c r="M124" s="1409">
        <v>796</v>
      </c>
      <c r="N124" s="1409">
        <v>2</v>
      </c>
      <c r="O124" s="1409">
        <v>2</v>
      </c>
      <c r="P124" s="1409"/>
      <c r="Q124" s="1409"/>
      <c r="R124" s="1409"/>
      <c r="S124" s="1409" t="s">
        <v>2129</v>
      </c>
      <c r="T124" s="1409" t="s">
        <v>2129</v>
      </c>
      <c r="U124" s="1409" t="s">
        <v>2129</v>
      </c>
      <c r="V124" s="1409" t="s">
        <v>2129</v>
      </c>
      <c r="W124" s="1409" t="s">
        <v>2129</v>
      </c>
      <c r="X124" s="1409" t="s">
        <v>2129</v>
      </c>
      <c r="Y124" s="1409" t="s">
        <v>2129</v>
      </c>
      <c r="Z124" s="1409" t="s">
        <v>2129</v>
      </c>
      <c r="AA124" s="1409" t="s">
        <v>2129</v>
      </c>
      <c r="AB124" s="1409" t="s">
        <v>2129</v>
      </c>
      <c r="AC124" s="1409" t="s">
        <v>2129</v>
      </c>
      <c r="AD124" s="1409" t="s">
        <v>2129</v>
      </c>
      <c r="AE124" s="1409" t="s">
        <v>2129</v>
      </c>
      <c r="AF124" s="1409" t="s">
        <v>2129</v>
      </c>
      <c r="AG124" s="1409" t="s">
        <v>2129</v>
      </c>
    </row>
    <row r="125" spans="1:33" ht="18.75" hidden="1" thickBot="1">
      <c r="A125" s="1530"/>
      <c r="B125" s="1532"/>
      <c r="C125" s="1530"/>
      <c r="D125" s="1409" t="s">
        <v>2249</v>
      </c>
      <c r="E125" s="1409" t="s">
        <v>2129</v>
      </c>
      <c r="F125" s="1409" t="s">
        <v>2129</v>
      </c>
      <c r="G125" s="1409" t="s">
        <v>2129</v>
      </c>
      <c r="H125" s="1409" t="s">
        <v>2129</v>
      </c>
      <c r="I125" s="1409" t="s">
        <v>2129</v>
      </c>
      <c r="J125" s="1409" t="s">
        <v>2129</v>
      </c>
      <c r="K125" s="1409" t="s">
        <v>2129</v>
      </c>
      <c r="L125" s="1409" t="s">
        <v>2166</v>
      </c>
      <c r="M125" s="1409">
        <v>796</v>
      </c>
      <c r="N125" s="1409">
        <v>2</v>
      </c>
      <c r="O125" s="1409">
        <v>2</v>
      </c>
      <c r="P125" s="1409"/>
      <c r="Q125" s="1409"/>
      <c r="R125" s="1409"/>
      <c r="S125" s="1409" t="s">
        <v>2129</v>
      </c>
      <c r="T125" s="1409" t="s">
        <v>2129</v>
      </c>
      <c r="U125" s="1409" t="s">
        <v>2129</v>
      </c>
      <c r="V125" s="1409" t="s">
        <v>2129</v>
      </c>
      <c r="W125" s="1409" t="s">
        <v>2129</v>
      </c>
      <c r="X125" s="1409" t="s">
        <v>2129</v>
      </c>
      <c r="Y125" s="1409" t="s">
        <v>2129</v>
      </c>
      <c r="Z125" s="1409" t="s">
        <v>2129</v>
      </c>
      <c r="AA125" s="1409" t="s">
        <v>2129</v>
      </c>
      <c r="AB125" s="1409" t="s">
        <v>2129</v>
      </c>
      <c r="AC125" s="1409" t="s">
        <v>2129</v>
      </c>
      <c r="AD125" s="1409" t="s">
        <v>2129</v>
      </c>
      <c r="AE125" s="1409" t="s">
        <v>2129</v>
      </c>
      <c r="AF125" s="1409" t="s">
        <v>2129</v>
      </c>
      <c r="AG125" s="1409" t="s">
        <v>2129</v>
      </c>
    </row>
    <row r="126" spans="1:33" ht="18.75" hidden="1" thickBot="1">
      <c r="A126" s="1530"/>
      <c r="B126" s="1532"/>
      <c r="C126" s="1530"/>
      <c r="D126" s="1409" t="s">
        <v>2250</v>
      </c>
      <c r="E126" s="1409" t="s">
        <v>2129</v>
      </c>
      <c r="F126" s="1409" t="s">
        <v>2129</v>
      </c>
      <c r="G126" s="1409" t="s">
        <v>2129</v>
      </c>
      <c r="H126" s="1409" t="s">
        <v>2129</v>
      </c>
      <c r="I126" s="1409" t="s">
        <v>2129</v>
      </c>
      <c r="J126" s="1409" t="s">
        <v>2129</v>
      </c>
      <c r="K126" s="1409" t="s">
        <v>2129</v>
      </c>
      <c r="L126" s="1409" t="s">
        <v>2166</v>
      </c>
      <c r="M126" s="1409">
        <v>796</v>
      </c>
      <c r="N126" s="1409">
        <v>2</v>
      </c>
      <c r="O126" s="1409">
        <v>2</v>
      </c>
      <c r="P126" s="1409"/>
      <c r="Q126" s="1409"/>
      <c r="R126" s="1409"/>
      <c r="S126" s="1409" t="s">
        <v>2129</v>
      </c>
      <c r="T126" s="1409" t="s">
        <v>2129</v>
      </c>
      <c r="U126" s="1409" t="s">
        <v>2129</v>
      </c>
      <c r="V126" s="1409" t="s">
        <v>2129</v>
      </c>
      <c r="W126" s="1409" t="s">
        <v>2129</v>
      </c>
      <c r="X126" s="1409" t="s">
        <v>2129</v>
      </c>
      <c r="Y126" s="1409" t="s">
        <v>2129</v>
      </c>
      <c r="Z126" s="1409" t="s">
        <v>2129</v>
      </c>
      <c r="AA126" s="1409" t="s">
        <v>2129</v>
      </c>
      <c r="AB126" s="1409" t="s">
        <v>2129</v>
      </c>
      <c r="AC126" s="1409" t="s">
        <v>2129</v>
      </c>
      <c r="AD126" s="1409" t="s">
        <v>2129</v>
      </c>
      <c r="AE126" s="1409" t="s">
        <v>2129</v>
      </c>
      <c r="AF126" s="1409" t="s">
        <v>2129</v>
      </c>
      <c r="AG126" s="1409" t="s">
        <v>2129</v>
      </c>
    </row>
    <row r="127" spans="1:33" ht="15.75" hidden="1" thickBot="1">
      <c r="A127" s="1530"/>
      <c r="B127" s="1532"/>
      <c r="C127" s="1530"/>
      <c r="D127" s="1409" t="s">
        <v>2251</v>
      </c>
      <c r="E127" s="1409" t="s">
        <v>2129</v>
      </c>
      <c r="F127" s="1409" t="s">
        <v>2129</v>
      </c>
      <c r="G127" s="1409" t="s">
        <v>2129</v>
      </c>
      <c r="H127" s="1409" t="s">
        <v>2129</v>
      </c>
      <c r="I127" s="1409" t="s">
        <v>2129</v>
      </c>
      <c r="J127" s="1409" t="s">
        <v>2129</v>
      </c>
      <c r="K127" s="1409" t="s">
        <v>2129</v>
      </c>
      <c r="L127" s="1409" t="s">
        <v>2166</v>
      </c>
      <c r="M127" s="1409">
        <v>796</v>
      </c>
      <c r="N127" s="1409">
        <v>2</v>
      </c>
      <c r="O127" s="1409">
        <v>2</v>
      </c>
      <c r="P127" s="1409"/>
      <c r="Q127" s="1409"/>
      <c r="R127" s="1409"/>
      <c r="S127" s="1409" t="s">
        <v>2129</v>
      </c>
      <c r="T127" s="1409" t="s">
        <v>2129</v>
      </c>
      <c r="U127" s="1409" t="s">
        <v>2129</v>
      </c>
      <c r="V127" s="1409" t="s">
        <v>2129</v>
      </c>
      <c r="W127" s="1409" t="s">
        <v>2129</v>
      </c>
      <c r="X127" s="1409" t="s">
        <v>2129</v>
      </c>
      <c r="Y127" s="1409" t="s">
        <v>2129</v>
      </c>
      <c r="Z127" s="1409" t="s">
        <v>2129</v>
      </c>
      <c r="AA127" s="1409" t="s">
        <v>2129</v>
      </c>
      <c r="AB127" s="1409" t="s">
        <v>2129</v>
      </c>
      <c r="AC127" s="1409" t="s">
        <v>2129</v>
      </c>
      <c r="AD127" s="1409" t="s">
        <v>2129</v>
      </c>
      <c r="AE127" s="1409" t="s">
        <v>2129</v>
      </c>
      <c r="AF127" s="1409" t="s">
        <v>2129</v>
      </c>
      <c r="AG127" s="1409" t="s">
        <v>2129</v>
      </c>
    </row>
    <row r="128" spans="1:33" ht="27" hidden="1" thickBot="1">
      <c r="A128" s="1530"/>
      <c r="B128" s="1532"/>
      <c r="C128" s="1530"/>
      <c r="D128" s="1409" t="s">
        <v>2252</v>
      </c>
      <c r="E128" s="1409" t="s">
        <v>2129</v>
      </c>
      <c r="F128" s="1409" t="s">
        <v>2129</v>
      </c>
      <c r="G128" s="1409" t="s">
        <v>2129</v>
      </c>
      <c r="H128" s="1409" t="s">
        <v>2129</v>
      </c>
      <c r="I128" s="1409" t="s">
        <v>2129</v>
      </c>
      <c r="J128" s="1409" t="s">
        <v>2129</v>
      </c>
      <c r="K128" s="1409" t="s">
        <v>2129</v>
      </c>
      <c r="L128" s="1409" t="s">
        <v>2166</v>
      </c>
      <c r="M128" s="1409">
        <v>796</v>
      </c>
      <c r="N128" s="1409">
        <v>2</v>
      </c>
      <c r="O128" s="1409">
        <v>2</v>
      </c>
      <c r="P128" s="1409"/>
      <c r="Q128" s="1409"/>
      <c r="R128" s="1409"/>
      <c r="S128" s="1409" t="s">
        <v>2129</v>
      </c>
      <c r="T128" s="1409" t="s">
        <v>2129</v>
      </c>
      <c r="U128" s="1409" t="s">
        <v>2129</v>
      </c>
      <c r="V128" s="1409" t="s">
        <v>2129</v>
      </c>
      <c r="W128" s="1409" t="s">
        <v>2129</v>
      </c>
      <c r="X128" s="1409" t="s">
        <v>2129</v>
      </c>
      <c r="Y128" s="1409" t="s">
        <v>2129</v>
      </c>
      <c r="Z128" s="1409" t="s">
        <v>2129</v>
      </c>
      <c r="AA128" s="1409" t="s">
        <v>2129</v>
      </c>
      <c r="AB128" s="1409" t="s">
        <v>2129</v>
      </c>
      <c r="AC128" s="1409" t="s">
        <v>2129</v>
      </c>
      <c r="AD128" s="1409" t="s">
        <v>2129</v>
      </c>
      <c r="AE128" s="1409" t="s">
        <v>2129</v>
      </c>
      <c r="AF128" s="1409" t="s">
        <v>2129</v>
      </c>
      <c r="AG128" s="1409" t="s">
        <v>2129</v>
      </c>
    </row>
    <row r="129" spans="1:33" ht="18.75" hidden="1" thickBot="1">
      <c r="A129" s="1530"/>
      <c r="B129" s="1532"/>
      <c r="C129" s="1530"/>
      <c r="D129" s="1409" t="s">
        <v>2253</v>
      </c>
      <c r="E129" s="1409" t="s">
        <v>2129</v>
      </c>
      <c r="F129" s="1409" t="s">
        <v>2129</v>
      </c>
      <c r="G129" s="1409" t="s">
        <v>2129</v>
      </c>
      <c r="H129" s="1409" t="s">
        <v>2129</v>
      </c>
      <c r="I129" s="1409" t="s">
        <v>2129</v>
      </c>
      <c r="J129" s="1409" t="s">
        <v>2129</v>
      </c>
      <c r="K129" s="1409" t="s">
        <v>2129</v>
      </c>
      <c r="L129" s="1409" t="s">
        <v>2166</v>
      </c>
      <c r="M129" s="1409">
        <v>796</v>
      </c>
      <c r="N129" s="1409">
        <v>2</v>
      </c>
      <c r="O129" s="1409">
        <v>2</v>
      </c>
      <c r="P129" s="1409"/>
      <c r="Q129" s="1409"/>
      <c r="R129" s="1409"/>
      <c r="S129" s="1409" t="s">
        <v>2129</v>
      </c>
      <c r="T129" s="1409" t="s">
        <v>2129</v>
      </c>
      <c r="U129" s="1409" t="s">
        <v>2129</v>
      </c>
      <c r="V129" s="1409" t="s">
        <v>2129</v>
      </c>
      <c r="W129" s="1409" t="s">
        <v>2129</v>
      </c>
      <c r="X129" s="1409" t="s">
        <v>2129</v>
      </c>
      <c r="Y129" s="1409" t="s">
        <v>2129</v>
      </c>
      <c r="Z129" s="1409" t="s">
        <v>2129</v>
      </c>
      <c r="AA129" s="1409" t="s">
        <v>2129</v>
      </c>
      <c r="AB129" s="1409" t="s">
        <v>2129</v>
      </c>
      <c r="AC129" s="1409" t="s">
        <v>2129</v>
      </c>
      <c r="AD129" s="1409" t="s">
        <v>2129</v>
      </c>
      <c r="AE129" s="1409" t="s">
        <v>2129</v>
      </c>
      <c r="AF129" s="1409" t="s">
        <v>2129</v>
      </c>
      <c r="AG129" s="1409" t="s">
        <v>2129</v>
      </c>
    </row>
    <row r="130" spans="1:33" ht="18.75" hidden="1" thickBot="1">
      <c r="A130" s="1530"/>
      <c r="B130" s="1532"/>
      <c r="C130" s="1530"/>
      <c r="D130" s="1409" t="s">
        <v>2254</v>
      </c>
      <c r="E130" s="1409" t="s">
        <v>2129</v>
      </c>
      <c r="F130" s="1409" t="s">
        <v>2129</v>
      </c>
      <c r="G130" s="1409" t="s">
        <v>2129</v>
      </c>
      <c r="H130" s="1409" t="s">
        <v>2129</v>
      </c>
      <c r="I130" s="1409" t="s">
        <v>2129</v>
      </c>
      <c r="J130" s="1409" t="s">
        <v>2129</v>
      </c>
      <c r="K130" s="1409" t="s">
        <v>2129</v>
      </c>
      <c r="L130" s="1409" t="s">
        <v>2166</v>
      </c>
      <c r="M130" s="1409">
        <v>796</v>
      </c>
      <c r="N130" s="1409">
        <v>2</v>
      </c>
      <c r="O130" s="1409">
        <v>2</v>
      </c>
      <c r="P130" s="1409"/>
      <c r="Q130" s="1409"/>
      <c r="R130" s="1409"/>
      <c r="S130" s="1409" t="s">
        <v>2129</v>
      </c>
      <c r="T130" s="1409" t="s">
        <v>2129</v>
      </c>
      <c r="U130" s="1409" t="s">
        <v>2129</v>
      </c>
      <c r="V130" s="1409" t="s">
        <v>2129</v>
      </c>
      <c r="W130" s="1409" t="s">
        <v>2129</v>
      </c>
      <c r="X130" s="1409" t="s">
        <v>2129</v>
      </c>
      <c r="Y130" s="1409" t="s">
        <v>2129</v>
      </c>
      <c r="Z130" s="1409" t="s">
        <v>2129</v>
      </c>
      <c r="AA130" s="1409" t="s">
        <v>2129</v>
      </c>
      <c r="AB130" s="1409" t="s">
        <v>2129</v>
      </c>
      <c r="AC130" s="1409" t="s">
        <v>2129</v>
      </c>
      <c r="AD130" s="1409" t="s">
        <v>2129</v>
      </c>
      <c r="AE130" s="1409" t="s">
        <v>2129</v>
      </c>
      <c r="AF130" s="1409" t="s">
        <v>2129</v>
      </c>
      <c r="AG130" s="1409" t="s">
        <v>2129</v>
      </c>
    </row>
    <row r="131" spans="1:33" ht="15.75" hidden="1" thickBot="1">
      <c r="A131" s="1530"/>
      <c r="B131" s="1532"/>
      <c r="C131" s="1530"/>
      <c r="D131" s="1409" t="s">
        <v>2255</v>
      </c>
      <c r="E131" s="1409" t="s">
        <v>2129</v>
      </c>
      <c r="F131" s="1409" t="s">
        <v>2129</v>
      </c>
      <c r="G131" s="1409" t="s">
        <v>2129</v>
      </c>
      <c r="H131" s="1409" t="s">
        <v>2129</v>
      </c>
      <c r="I131" s="1409" t="s">
        <v>2129</v>
      </c>
      <c r="J131" s="1409" t="s">
        <v>2129</v>
      </c>
      <c r="K131" s="1409" t="s">
        <v>2129</v>
      </c>
      <c r="L131" s="1409" t="s">
        <v>2166</v>
      </c>
      <c r="M131" s="1409">
        <v>796</v>
      </c>
      <c r="N131" s="1409">
        <v>2</v>
      </c>
      <c r="O131" s="1409">
        <v>2</v>
      </c>
      <c r="P131" s="1409"/>
      <c r="Q131" s="1409"/>
      <c r="R131" s="1409"/>
      <c r="S131" s="1409" t="s">
        <v>2129</v>
      </c>
      <c r="T131" s="1409" t="s">
        <v>2129</v>
      </c>
      <c r="U131" s="1409" t="s">
        <v>2129</v>
      </c>
      <c r="V131" s="1409" t="s">
        <v>2129</v>
      </c>
      <c r="W131" s="1409" t="s">
        <v>2129</v>
      </c>
      <c r="X131" s="1409" t="s">
        <v>2129</v>
      </c>
      <c r="Y131" s="1409" t="s">
        <v>2129</v>
      </c>
      <c r="Z131" s="1409" t="s">
        <v>2129</v>
      </c>
      <c r="AA131" s="1409" t="s">
        <v>2129</v>
      </c>
      <c r="AB131" s="1409" t="s">
        <v>2129</v>
      </c>
      <c r="AC131" s="1409" t="s">
        <v>2129</v>
      </c>
      <c r="AD131" s="1409" t="s">
        <v>2129</v>
      </c>
      <c r="AE131" s="1409" t="s">
        <v>2129</v>
      </c>
      <c r="AF131" s="1409" t="s">
        <v>2129</v>
      </c>
      <c r="AG131" s="1409" t="s">
        <v>2129</v>
      </c>
    </row>
    <row r="132" spans="1:33" ht="15.75" hidden="1" thickBot="1">
      <c r="A132" s="1530"/>
      <c r="B132" s="1532"/>
      <c r="C132" s="1530"/>
      <c r="D132" s="1409" t="s">
        <v>2256</v>
      </c>
      <c r="E132" s="1409" t="s">
        <v>2129</v>
      </c>
      <c r="F132" s="1409" t="s">
        <v>2129</v>
      </c>
      <c r="G132" s="1409" t="s">
        <v>2129</v>
      </c>
      <c r="H132" s="1409" t="s">
        <v>2129</v>
      </c>
      <c r="I132" s="1409" t="s">
        <v>2129</v>
      </c>
      <c r="J132" s="1409" t="s">
        <v>2129</v>
      </c>
      <c r="K132" s="1409" t="s">
        <v>2129</v>
      </c>
      <c r="L132" s="1409" t="s">
        <v>2166</v>
      </c>
      <c r="M132" s="1409">
        <v>796</v>
      </c>
      <c r="N132" s="1409">
        <v>2</v>
      </c>
      <c r="O132" s="1409">
        <v>2</v>
      </c>
      <c r="P132" s="1409"/>
      <c r="Q132" s="1409"/>
      <c r="R132" s="1409"/>
      <c r="S132" s="1409" t="s">
        <v>2129</v>
      </c>
      <c r="T132" s="1409" t="s">
        <v>2129</v>
      </c>
      <c r="U132" s="1409" t="s">
        <v>2129</v>
      </c>
      <c r="V132" s="1409" t="s">
        <v>2129</v>
      </c>
      <c r="W132" s="1409" t="s">
        <v>2129</v>
      </c>
      <c r="X132" s="1409" t="s">
        <v>2129</v>
      </c>
      <c r="Y132" s="1409" t="s">
        <v>2129</v>
      </c>
      <c r="Z132" s="1409" t="s">
        <v>2129</v>
      </c>
      <c r="AA132" s="1409" t="s">
        <v>2129</v>
      </c>
      <c r="AB132" s="1409" t="s">
        <v>2129</v>
      </c>
      <c r="AC132" s="1409" t="s">
        <v>2129</v>
      </c>
      <c r="AD132" s="1409" t="s">
        <v>2129</v>
      </c>
      <c r="AE132" s="1409" t="s">
        <v>2129</v>
      </c>
      <c r="AF132" s="1409" t="s">
        <v>2129</v>
      </c>
      <c r="AG132" s="1409" t="s">
        <v>2129</v>
      </c>
    </row>
    <row r="133" spans="1:33" ht="18.75" hidden="1" thickBot="1">
      <c r="A133" s="1530"/>
      <c r="B133" s="1532"/>
      <c r="C133" s="1530"/>
      <c r="D133" s="1409" t="s">
        <v>2257</v>
      </c>
      <c r="E133" s="1409" t="s">
        <v>2129</v>
      </c>
      <c r="F133" s="1409" t="s">
        <v>2129</v>
      </c>
      <c r="G133" s="1409" t="s">
        <v>2129</v>
      </c>
      <c r="H133" s="1409" t="s">
        <v>2129</v>
      </c>
      <c r="I133" s="1409" t="s">
        <v>2129</v>
      </c>
      <c r="J133" s="1409" t="s">
        <v>2129</v>
      </c>
      <c r="K133" s="1409" t="s">
        <v>2129</v>
      </c>
      <c r="L133" s="1409" t="s">
        <v>2166</v>
      </c>
      <c r="M133" s="1409">
        <v>796</v>
      </c>
      <c r="N133" s="1409">
        <v>2</v>
      </c>
      <c r="O133" s="1409">
        <v>2</v>
      </c>
      <c r="P133" s="1409"/>
      <c r="Q133" s="1409"/>
      <c r="R133" s="1409"/>
      <c r="S133" s="1409" t="s">
        <v>2129</v>
      </c>
      <c r="T133" s="1409" t="s">
        <v>2129</v>
      </c>
      <c r="U133" s="1409" t="s">
        <v>2129</v>
      </c>
      <c r="V133" s="1409" t="s">
        <v>2129</v>
      </c>
      <c r="W133" s="1409" t="s">
        <v>2129</v>
      </c>
      <c r="X133" s="1409" t="s">
        <v>2129</v>
      </c>
      <c r="Y133" s="1409" t="s">
        <v>2129</v>
      </c>
      <c r="Z133" s="1409" t="s">
        <v>2129</v>
      </c>
      <c r="AA133" s="1409" t="s">
        <v>2129</v>
      </c>
      <c r="AB133" s="1409" t="s">
        <v>2129</v>
      </c>
      <c r="AC133" s="1409" t="s">
        <v>2129</v>
      </c>
      <c r="AD133" s="1409" t="s">
        <v>2129</v>
      </c>
      <c r="AE133" s="1409" t="s">
        <v>2129</v>
      </c>
      <c r="AF133" s="1409" t="s">
        <v>2129</v>
      </c>
      <c r="AG133" s="1409" t="s">
        <v>2129</v>
      </c>
    </row>
    <row r="134" spans="1:33" ht="27" hidden="1" thickBot="1">
      <c r="A134" s="1530"/>
      <c r="B134" s="1532"/>
      <c r="C134" s="1530"/>
      <c r="D134" s="1409" t="s">
        <v>2258</v>
      </c>
      <c r="E134" s="1409" t="s">
        <v>2129</v>
      </c>
      <c r="F134" s="1409" t="s">
        <v>2129</v>
      </c>
      <c r="G134" s="1409" t="s">
        <v>2129</v>
      </c>
      <c r="H134" s="1409" t="s">
        <v>2129</v>
      </c>
      <c r="I134" s="1409" t="s">
        <v>2129</v>
      </c>
      <c r="J134" s="1409" t="s">
        <v>2129</v>
      </c>
      <c r="K134" s="1409" t="s">
        <v>2129</v>
      </c>
      <c r="L134" s="1409" t="s">
        <v>2166</v>
      </c>
      <c r="M134" s="1409">
        <v>796</v>
      </c>
      <c r="N134" s="1409">
        <v>2</v>
      </c>
      <c r="O134" s="1409">
        <v>2</v>
      </c>
      <c r="P134" s="1409"/>
      <c r="Q134" s="1409"/>
      <c r="R134" s="1409"/>
      <c r="S134" s="1409" t="s">
        <v>2129</v>
      </c>
      <c r="T134" s="1409" t="s">
        <v>2129</v>
      </c>
      <c r="U134" s="1409" t="s">
        <v>2129</v>
      </c>
      <c r="V134" s="1409" t="s">
        <v>2129</v>
      </c>
      <c r="W134" s="1409" t="s">
        <v>2129</v>
      </c>
      <c r="X134" s="1409" t="s">
        <v>2129</v>
      </c>
      <c r="Y134" s="1409" t="s">
        <v>2129</v>
      </c>
      <c r="Z134" s="1409" t="s">
        <v>2129</v>
      </c>
      <c r="AA134" s="1409" t="s">
        <v>2129</v>
      </c>
      <c r="AB134" s="1409" t="s">
        <v>2129</v>
      </c>
      <c r="AC134" s="1409" t="s">
        <v>2129</v>
      </c>
      <c r="AD134" s="1409" t="s">
        <v>2129</v>
      </c>
      <c r="AE134" s="1409" t="s">
        <v>2129</v>
      </c>
      <c r="AF134" s="1409" t="s">
        <v>2129</v>
      </c>
      <c r="AG134" s="1409" t="s">
        <v>2129</v>
      </c>
    </row>
    <row r="135" spans="1:33" ht="18.75" hidden="1" thickBot="1">
      <c r="A135" s="1530"/>
      <c r="B135" s="1532"/>
      <c r="C135" s="1530"/>
      <c r="D135" s="1409" t="s">
        <v>2259</v>
      </c>
      <c r="E135" s="1409" t="s">
        <v>2129</v>
      </c>
      <c r="F135" s="1409" t="s">
        <v>2129</v>
      </c>
      <c r="G135" s="1409" t="s">
        <v>2129</v>
      </c>
      <c r="H135" s="1409" t="s">
        <v>2129</v>
      </c>
      <c r="I135" s="1409" t="s">
        <v>2129</v>
      </c>
      <c r="J135" s="1409" t="s">
        <v>2129</v>
      </c>
      <c r="K135" s="1409" t="s">
        <v>2129</v>
      </c>
      <c r="L135" s="1409" t="s">
        <v>2166</v>
      </c>
      <c r="M135" s="1409">
        <v>796</v>
      </c>
      <c r="N135" s="1409">
        <v>2</v>
      </c>
      <c r="O135" s="1409">
        <v>2</v>
      </c>
      <c r="P135" s="1409"/>
      <c r="Q135" s="1409"/>
      <c r="R135" s="1409"/>
      <c r="S135" s="1409" t="s">
        <v>2129</v>
      </c>
      <c r="T135" s="1409" t="s">
        <v>2129</v>
      </c>
      <c r="U135" s="1409" t="s">
        <v>2129</v>
      </c>
      <c r="V135" s="1409" t="s">
        <v>2129</v>
      </c>
      <c r="W135" s="1409" t="s">
        <v>2129</v>
      </c>
      <c r="X135" s="1409" t="s">
        <v>2129</v>
      </c>
      <c r="Y135" s="1409" t="s">
        <v>2129</v>
      </c>
      <c r="Z135" s="1409" t="s">
        <v>2129</v>
      </c>
      <c r="AA135" s="1409" t="s">
        <v>2129</v>
      </c>
      <c r="AB135" s="1409" t="s">
        <v>2129</v>
      </c>
      <c r="AC135" s="1409" t="s">
        <v>2129</v>
      </c>
      <c r="AD135" s="1409" t="s">
        <v>2129</v>
      </c>
      <c r="AE135" s="1409" t="s">
        <v>2129</v>
      </c>
      <c r="AF135" s="1409" t="s">
        <v>2129</v>
      </c>
      <c r="AG135" s="1409" t="s">
        <v>2129</v>
      </c>
    </row>
    <row r="136" spans="1:33" ht="15.75" hidden="1" thickBot="1">
      <c r="A136" s="1530"/>
      <c r="B136" s="1532"/>
      <c r="C136" s="1530"/>
      <c r="D136" s="1409" t="s">
        <v>2260</v>
      </c>
      <c r="E136" s="1409" t="s">
        <v>2129</v>
      </c>
      <c r="F136" s="1409" t="s">
        <v>2129</v>
      </c>
      <c r="G136" s="1409" t="s">
        <v>2129</v>
      </c>
      <c r="H136" s="1409" t="s">
        <v>2129</v>
      </c>
      <c r="I136" s="1409" t="s">
        <v>2129</v>
      </c>
      <c r="J136" s="1409" t="s">
        <v>2129</v>
      </c>
      <c r="K136" s="1409" t="s">
        <v>2129</v>
      </c>
      <c r="L136" s="1409" t="s">
        <v>2166</v>
      </c>
      <c r="M136" s="1409">
        <v>796</v>
      </c>
      <c r="N136" s="1409">
        <v>2</v>
      </c>
      <c r="O136" s="1409">
        <v>2</v>
      </c>
      <c r="P136" s="1409"/>
      <c r="Q136" s="1409"/>
      <c r="R136" s="1409"/>
      <c r="S136" s="1409" t="s">
        <v>2129</v>
      </c>
      <c r="T136" s="1409" t="s">
        <v>2129</v>
      </c>
      <c r="U136" s="1409" t="s">
        <v>2129</v>
      </c>
      <c r="V136" s="1409" t="s">
        <v>2129</v>
      </c>
      <c r="W136" s="1409" t="s">
        <v>2129</v>
      </c>
      <c r="X136" s="1409" t="s">
        <v>2129</v>
      </c>
      <c r="Y136" s="1409" t="s">
        <v>2129</v>
      </c>
      <c r="Z136" s="1409" t="s">
        <v>2129</v>
      </c>
      <c r="AA136" s="1409" t="s">
        <v>2129</v>
      </c>
      <c r="AB136" s="1409" t="s">
        <v>2129</v>
      </c>
      <c r="AC136" s="1409" t="s">
        <v>2129</v>
      </c>
      <c r="AD136" s="1409" t="s">
        <v>2129</v>
      </c>
      <c r="AE136" s="1409" t="s">
        <v>2129</v>
      </c>
      <c r="AF136" s="1409" t="s">
        <v>2129</v>
      </c>
      <c r="AG136" s="1409" t="s">
        <v>2129</v>
      </c>
    </row>
    <row r="137" spans="1:33" ht="15.75" hidden="1" thickBot="1">
      <c r="A137" s="1529"/>
      <c r="B137" s="1533"/>
      <c r="C137" s="1529"/>
      <c r="D137" s="1409" t="s">
        <v>2261</v>
      </c>
      <c r="E137" s="1409" t="s">
        <v>2129</v>
      </c>
      <c r="F137" s="1409" t="s">
        <v>2129</v>
      </c>
      <c r="G137" s="1409" t="s">
        <v>2129</v>
      </c>
      <c r="H137" s="1409" t="s">
        <v>2129</v>
      </c>
      <c r="I137" s="1409" t="s">
        <v>2129</v>
      </c>
      <c r="J137" s="1409" t="s">
        <v>2129</v>
      </c>
      <c r="K137" s="1409" t="s">
        <v>2129</v>
      </c>
      <c r="L137" s="1409" t="s">
        <v>2166</v>
      </c>
      <c r="M137" s="1409">
        <v>796</v>
      </c>
      <c r="N137" s="1409">
        <v>2</v>
      </c>
      <c r="O137" s="1409">
        <v>2</v>
      </c>
      <c r="P137" s="1409"/>
      <c r="Q137" s="1409"/>
      <c r="R137" s="1409"/>
      <c r="S137" s="1409" t="s">
        <v>2129</v>
      </c>
      <c r="T137" s="1409" t="s">
        <v>2129</v>
      </c>
      <c r="U137" s="1409" t="s">
        <v>2129</v>
      </c>
      <c r="V137" s="1409" t="s">
        <v>2129</v>
      </c>
      <c r="W137" s="1409" t="s">
        <v>2129</v>
      </c>
      <c r="X137" s="1409" t="s">
        <v>2129</v>
      </c>
      <c r="Y137" s="1409" t="s">
        <v>2129</v>
      </c>
      <c r="Z137" s="1409" t="s">
        <v>2129</v>
      </c>
      <c r="AA137" s="1409" t="s">
        <v>2129</v>
      </c>
      <c r="AB137" s="1409" t="s">
        <v>2129</v>
      </c>
      <c r="AC137" s="1409" t="s">
        <v>2129</v>
      </c>
      <c r="AD137" s="1409" t="s">
        <v>2129</v>
      </c>
      <c r="AE137" s="1409" t="s">
        <v>2129</v>
      </c>
      <c r="AF137" s="1409" t="s">
        <v>2129</v>
      </c>
      <c r="AG137" s="1409" t="s">
        <v>2129</v>
      </c>
    </row>
    <row r="138" spans="1:33" ht="25.5" hidden="1" customHeight="1">
      <c r="A138" s="1528">
        <v>28</v>
      </c>
      <c r="B138" s="1531">
        <v>1.7224300000000002E+35</v>
      </c>
      <c r="C138" s="1528" t="s">
        <v>2262</v>
      </c>
      <c r="D138" s="1528" t="s">
        <v>2263</v>
      </c>
      <c r="E138" s="1528" t="s">
        <v>2264</v>
      </c>
      <c r="F138" s="1528"/>
      <c r="G138" s="1528">
        <v>62020.800000000003</v>
      </c>
      <c r="H138" s="1528">
        <v>62020.800000000003</v>
      </c>
      <c r="I138" s="1528">
        <v>0</v>
      </c>
      <c r="J138" s="1528">
        <v>0</v>
      </c>
      <c r="K138" s="1528">
        <v>0</v>
      </c>
      <c r="L138" s="1528" t="s">
        <v>2129</v>
      </c>
      <c r="M138" s="1528" t="s">
        <v>2129</v>
      </c>
      <c r="N138" s="1528" t="s">
        <v>2129</v>
      </c>
      <c r="O138" s="1528" t="s">
        <v>2129</v>
      </c>
      <c r="P138" s="1528" t="s">
        <v>2129</v>
      </c>
      <c r="Q138" s="1528" t="s">
        <v>2129</v>
      </c>
      <c r="R138" s="1528" t="s">
        <v>2129</v>
      </c>
      <c r="S138" s="1410" t="s">
        <v>2265</v>
      </c>
      <c r="T138" s="1528"/>
      <c r="U138" s="1528"/>
      <c r="V138" s="1528">
        <v>1.2017</v>
      </c>
      <c r="W138" s="1528">
        <v>12.201700000000001</v>
      </c>
      <c r="X138" s="1528" t="s">
        <v>2131</v>
      </c>
      <c r="Y138" s="1528" t="s">
        <v>2132</v>
      </c>
      <c r="Z138" s="1528" t="s">
        <v>2132</v>
      </c>
      <c r="AA138" s="1528"/>
      <c r="AB138" s="1528"/>
      <c r="AC138" s="1528"/>
      <c r="AD138" s="1528"/>
      <c r="AE138" s="1410" t="s">
        <v>2134</v>
      </c>
      <c r="AF138" s="1528"/>
      <c r="AG138" s="1528"/>
    </row>
    <row r="139" spans="1:33" ht="84.75" hidden="1" thickBot="1">
      <c r="A139" s="1530"/>
      <c r="B139" s="1532"/>
      <c r="C139" s="1530"/>
      <c r="D139" s="1529"/>
      <c r="E139" s="1529"/>
      <c r="F139" s="1529"/>
      <c r="G139" s="1529"/>
      <c r="H139" s="1529"/>
      <c r="I139" s="1529"/>
      <c r="J139" s="1529"/>
      <c r="K139" s="1529"/>
      <c r="L139" s="1529"/>
      <c r="M139" s="1529"/>
      <c r="N139" s="1529"/>
      <c r="O139" s="1529"/>
      <c r="P139" s="1529"/>
      <c r="Q139" s="1529"/>
      <c r="R139" s="1529"/>
      <c r="S139" s="1409" t="s">
        <v>2135</v>
      </c>
      <c r="T139" s="1529"/>
      <c r="U139" s="1529"/>
      <c r="V139" s="1529"/>
      <c r="W139" s="1529"/>
      <c r="X139" s="1529"/>
      <c r="Y139" s="1529"/>
      <c r="Z139" s="1529"/>
      <c r="AA139" s="1529"/>
      <c r="AB139" s="1529"/>
      <c r="AC139" s="1529"/>
      <c r="AD139" s="1529"/>
      <c r="AE139" s="1409" t="s">
        <v>2136</v>
      </c>
      <c r="AF139" s="1529"/>
      <c r="AG139" s="1529"/>
    </row>
    <row r="140" spans="1:33" ht="51.75" hidden="1" thickBot="1">
      <c r="A140" s="1529"/>
      <c r="B140" s="1533"/>
      <c r="C140" s="1529"/>
      <c r="D140" s="1409" t="s">
        <v>2266</v>
      </c>
      <c r="E140" s="1409" t="s">
        <v>2129</v>
      </c>
      <c r="F140" s="1409" t="s">
        <v>2129</v>
      </c>
      <c r="G140" s="1409" t="s">
        <v>2129</v>
      </c>
      <c r="H140" s="1409" t="s">
        <v>2129</v>
      </c>
      <c r="I140" s="1409" t="s">
        <v>2129</v>
      </c>
      <c r="J140" s="1409" t="s">
        <v>2129</v>
      </c>
      <c r="K140" s="1409" t="s">
        <v>2129</v>
      </c>
      <c r="L140" s="1409" t="s">
        <v>2267</v>
      </c>
      <c r="M140" s="1409">
        <v>356</v>
      </c>
      <c r="N140" s="1409">
        <v>24</v>
      </c>
      <c r="O140" s="1409">
        <v>24</v>
      </c>
      <c r="P140" s="1409"/>
      <c r="Q140" s="1409"/>
      <c r="R140" s="1409"/>
      <c r="S140" s="1409" t="s">
        <v>2129</v>
      </c>
      <c r="T140" s="1409" t="s">
        <v>2129</v>
      </c>
      <c r="U140" s="1409" t="s">
        <v>2129</v>
      </c>
      <c r="V140" s="1409" t="s">
        <v>2129</v>
      </c>
      <c r="W140" s="1409" t="s">
        <v>2129</v>
      </c>
      <c r="X140" s="1409" t="s">
        <v>2129</v>
      </c>
      <c r="Y140" s="1409" t="s">
        <v>2129</v>
      </c>
      <c r="Z140" s="1409" t="s">
        <v>2129</v>
      </c>
      <c r="AA140" s="1409" t="s">
        <v>2129</v>
      </c>
      <c r="AB140" s="1409" t="s">
        <v>2129</v>
      </c>
      <c r="AC140" s="1409" t="s">
        <v>2129</v>
      </c>
      <c r="AD140" s="1409" t="s">
        <v>2129</v>
      </c>
      <c r="AE140" s="1409" t="s">
        <v>2129</v>
      </c>
      <c r="AF140" s="1409" t="s">
        <v>2129</v>
      </c>
      <c r="AG140" s="1409" t="s">
        <v>2129</v>
      </c>
    </row>
    <row r="141" spans="1:33" ht="25.5" hidden="1" customHeight="1">
      <c r="A141" s="1528">
        <v>29</v>
      </c>
      <c r="B141" s="1531">
        <v>1.7224300000000002E+35</v>
      </c>
      <c r="C141" s="1528" t="s">
        <v>2268</v>
      </c>
      <c r="D141" s="1528" t="s">
        <v>2269</v>
      </c>
      <c r="E141" s="1528">
        <v>2584</v>
      </c>
      <c r="F141" s="1528"/>
      <c r="G141" s="1528">
        <v>2584</v>
      </c>
      <c r="H141" s="1528">
        <v>2584</v>
      </c>
      <c r="I141" s="1528">
        <v>0</v>
      </c>
      <c r="J141" s="1528">
        <v>0</v>
      </c>
      <c r="K141" s="1528">
        <v>0</v>
      </c>
      <c r="L141" s="1528" t="s">
        <v>2129</v>
      </c>
      <c r="M141" s="1528" t="s">
        <v>2129</v>
      </c>
      <c r="N141" s="1528" t="s">
        <v>2129</v>
      </c>
      <c r="O141" s="1528" t="s">
        <v>2129</v>
      </c>
      <c r="P141" s="1528" t="s">
        <v>2129</v>
      </c>
      <c r="Q141" s="1528" t="s">
        <v>2129</v>
      </c>
      <c r="R141" s="1528" t="s">
        <v>2129</v>
      </c>
      <c r="S141" s="1410" t="s">
        <v>2163</v>
      </c>
      <c r="T141" s="1528"/>
      <c r="U141" s="1528"/>
      <c r="V141" s="1528">
        <v>4.2016999999999998</v>
      </c>
      <c r="W141" s="1528">
        <v>5.2016999999999998</v>
      </c>
      <c r="X141" s="1528" t="s">
        <v>2131</v>
      </c>
      <c r="Y141" s="1528" t="s">
        <v>2132</v>
      </c>
      <c r="Z141" s="1528" t="s">
        <v>2132</v>
      </c>
      <c r="AA141" s="1528"/>
      <c r="AB141" s="1528"/>
      <c r="AC141" s="1528"/>
      <c r="AD141" s="1528"/>
      <c r="AE141" s="1410" t="s">
        <v>2134</v>
      </c>
      <c r="AF141" s="1528"/>
      <c r="AG141" s="1528"/>
    </row>
    <row r="142" spans="1:33" ht="93" hidden="1" thickBot="1">
      <c r="A142" s="1530"/>
      <c r="B142" s="1532"/>
      <c r="C142" s="1530"/>
      <c r="D142" s="1529"/>
      <c r="E142" s="1529"/>
      <c r="F142" s="1529"/>
      <c r="G142" s="1529"/>
      <c r="H142" s="1529"/>
      <c r="I142" s="1529"/>
      <c r="J142" s="1529"/>
      <c r="K142" s="1529"/>
      <c r="L142" s="1529"/>
      <c r="M142" s="1529"/>
      <c r="N142" s="1529"/>
      <c r="O142" s="1529"/>
      <c r="P142" s="1529"/>
      <c r="Q142" s="1529"/>
      <c r="R142" s="1529"/>
      <c r="S142" s="1409" t="s">
        <v>2183</v>
      </c>
      <c r="T142" s="1529"/>
      <c r="U142" s="1529"/>
      <c r="V142" s="1529"/>
      <c r="W142" s="1529"/>
      <c r="X142" s="1529"/>
      <c r="Y142" s="1529"/>
      <c r="Z142" s="1529"/>
      <c r="AA142" s="1529"/>
      <c r="AB142" s="1529"/>
      <c r="AC142" s="1529"/>
      <c r="AD142" s="1529"/>
      <c r="AE142" s="1409" t="s">
        <v>2136</v>
      </c>
      <c r="AF142" s="1529"/>
      <c r="AG142" s="1529"/>
    </row>
    <row r="143" spans="1:33" ht="15.75" hidden="1" thickBot="1">
      <c r="A143" s="1530"/>
      <c r="B143" s="1532"/>
      <c r="C143" s="1530"/>
      <c r="D143" s="1410" t="s">
        <v>2270</v>
      </c>
      <c r="E143" s="1528" t="s">
        <v>2129</v>
      </c>
      <c r="F143" s="1528" t="s">
        <v>2129</v>
      </c>
      <c r="G143" s="1528" t="s">
        <v>2129</v>
      </c>
      <c r="H143" s="1528" t="s">
        <v>2129</v>
      </c>
      <c r="I143" s="1528" t="s">
        <v>2129</v>
      </c>
      <c r="J143" s="1528" t="s">
        <v>2129</v>
      </c>
      <c r="K143" s="1528" t="s">
        <v>2129</v>
      </c>
      <c r="L143" s="1528" t="s">
        <v>2166</v>
      </c>
      <c r="M143" s="1528">
        <v>796</v>
      </c>
      <c r="N143" s="1528">
        <v>17</v>
      </c>
      <c r="O143" s="1528">
        <v>17</v>
      </c>
      <c r="P143" s="1528"/>
      <c r="Q143" s="1528"/>
      <c r="R143" s="1528"/>
      <c r="S143" s="1528" t="s">
        <v>2129</v>
      </c>
      <c r="T143" s="1528" t="s">
        <v>2129</v>
      </c>
      <c r="U143" s="1528" t="s">
        <v>2129</v>
      </c>
      <c r="V143" s="1528" t="s">
        <v>2129</v>
      </c>
      <c r="W143" s="1528" t="s">
        <v>2129</v>
      </c>
      <c r="X143" s="1528" t="s">
        <v>2129</v>
      </c>
      <c r="Y143" s="1528" t="s">
        <v>2129</v>
      </c>
      <c r="Z143" s="1528" t="s">
        <v>2129</v>
      </c>
      <c r="AA143" s="1528" t="s">
        <v>2129</v>
      </c>
      <c r="AB143" s="1528" t="s">
        <v>2129</v>
      </c>
      <c r="AC143" s="1528" t="s">
        <v>2129</v>
      </c>
      <c r="AD143" s="1528" t="s">
        <v>2129</v>
      </c>
      <c r="AE143" s="1528" t="s">
        <v>2129</v>
      </c>
      <c r="AF143" s="1528" t="s">
        <v>2129</v>
      </c>
      <c r="AG143" s="1528" t="s">
        <v>2129</v>
      </c>
    </row>
    <row r="144" spans="1:33" ht="60" hidden="1" thickBot="1">
      <c r="A144" s="1529"/>
      <c r="B144" s="1533"/>
      <c r="C144" s="1529"/>
      <c r="D144" s="1409" t="s">
        <v>2271</v>
      </c>
      <c r="E144" s="1529"/>
      <c r="F144" s="1529"/>
      <c r="G144" s="1529"/>
      <c r="H144" s="1529"/>
      <c r="I144" s="1529"/>
      <c r="J144" s="1529"/>
      <c r="K144" s="1529"/>
      <c r="L144" s="1529"/>
      <c r="M144" s="1529"/>
      <c r="N144" s="1529"/>
      <c r="O144" s="1529"/>
      <c r="P144" s="1529"/>
      <c r="Q144" s="1529"/>
      <c r="R144" s="1529"/>
      <c r="S144" s="1529"/>
      <c r="T144" s="1529"/>
      <c r="U144" s="1529"/>
      <c r="V144" s="1529"/>
      <c r="W144" s="1529"/>
      <c r="X144" s="1529"/>
      <c r="Y144" s="1529"/>
      <c r="Z144" s="1529"/>
      <c r="AA144" s="1529"/>
      <c r="AB144" s="1529"/>
      <c r="AC144" s="1529"/>
      <c r="AD144" s="1529"/>
      <c r="AE144" s="1529"/>
      <c r="AF144" s="1529"/>
      <c r="AG144" s="1529"/>
    </row>
    <row r="145" spans="1:33" ht="25.5" hidden="1" customHeight="1">
      <c r="A145" s="1528">
        <v>30</v>
      </c>
      <c r="B145" s="1531">
        <v>1.7224300000000002E+35</v>
      </c>
      <c r="C145" s="1528" t="s">
        <v>2272</v>
      </c>
      <c r="D145" s="1528" t="s">
        <v>2273</v>
      </c>
      <c r="E145" s="1528">
        <v>900</v>
      </c>
      <c r="F145" s="1528"/>
      <c r="G145" s="1528">
        <v>900</v>
      </c>
      <c r="H145" s="1528">
        <v>900</v>
      </c>
      <c r="I145" s="1528">
        <v>0</v>
      </c>
      <c r="J145" s="1528">
        <v>0</v>
      </c>
      <c r="K145" s="1528">
        <v>0</v>
      </c>
      <c r="L145" s="1528" t="s">
        <v>2129</v>
      </c>
      <c r="M145" s="1528" t="s">
        <v>2129</v>
      </c>
      <c r="N145" s="1528" t="s">
        <v>2129</v>
      </c>
      <c r="O145" s="1528" t="s">
        <v>2129</v>
      </c>
      <c r="P145" s="1528" t="s">
        <v>2129</v>
      </c>
      <c r="Q145" s="1528" t="s">
        <v>2129</v>
      </c>
      <c r="R145" s="1528" t="s">
        <v>2129</v>
      </c>
      <c r="S145" s="1410" t="s">
        <v>2163</v>
      </c>
      <c r="T145" s="1528"/>
      <c r="U145" s="1528"/>
      <c r="V145" s="1528">
        <v>5.2016999999999998</v>
      </c>
      <c r="W145" s="1528">
        <v>12.201700000000001</v>
      </c>
      <c r="X145" s="1528" t="s">
        <v>2131</v>
      </c>
      <c r="Y145" s="1528" t="s">
        <v>2132</v>
      </c>
      <c r="Z145" s="1528" t="s">
        <v>2132</v>
      </c>
      <c r="AA145" s="1528"/>
      <c r="AB145" s="1528"/>
      <c r="AC145" s="1528"/>
      <c r="AD145" s="1528"/>
      <c r="AE145" s="1528"/>
      <c r="AF145" s="1528"/>
      <c r="AG145" s="1528"/>
    </row>
    <row r="146" spans="1:33" ht="93" hidden="1" thickBot="1">
      <c r="A146" s="1530"/>
      <c r="B146" s="1532"/>
      <c r="C146" s="1530"/>
      <c r="D146" s="1529"/>
      <c r="E146" s="1529"/>
      <c r="F146" s="1529"/>
      <c r="G146" s="1529"/>
      <c r="H146" s="1529"/>
      <c r="I146" s="1529"/>
      <c r="J146" s="1529"/>
      <c r="K146" s="1529"/>
      <c r="L146" s="1529"/>
      <c r="M146" s="1529"/>
      <c r="N146" s="1529"/>
      <c r="O146" s="1529"/>
      <c r="P146" s="1529"/>
      <c r="Q146" s="1529"/>
      <c r="R146" s="1529"/>
      <c r="S146" s="1409" t="s">
        <v>2274</v>
      </c>
      <c r="T146" s="1529"/>
      <c r="U146" s="1529"/>
      <c r="V146" s="1529"/>
      <c r="W146" s="1529"/>
      <c r="X146" s="1529"/>
      <c r="Y146" s="1529"/>
      <c r="Z146" s="1529"/>
      <c r="AA146" s="1529"/>
      <c r="AB146" s="1529"/>
      <c r="AC146" s="1529"/>
      <c r="AD146" s="1529"/>
      <c r="AE146" s="1529"/>
      <c r="AF146" s="1529"/>
      <c r="AG146" s="1529"/>
    </row>
    <row r="147" spans="1:33" ht="18.75" hidden="1" thickBot="1">
      <c r="A147" s="1530"/>
      <c r="B147" s="1532"/>
      <c r="C147" s="1530"/>
      <c r="D147" s="1410" t="s">
        <v>2275</v>
      </c>
      <c r="E147" s="1528" t="s">
        <v>2129</v>
      </c>
      <c r="F147" s="1528" t="s">
        <v>2129</v>
      </c>
      <c r="G147" s="1528" t="s">
        <v>2129</v>
      </c>
      <c r="H147" s="1528" t="s">
        <v>2129</v>
      </c>
      <c r="I147" s="1528" t="s">
        <v>2129</v>
      </c>
      <c r="J147" s="1528" t="s">
        <v>2129</v>
      </c>
      <c r="K147" s="1528" t="s">
        <v>2129</v>
      </c>
      <c r="L147" s="1528" t="s">
        <v>2232</v>
      </c>
      <c r="M147" s="1528">
        <v>792</v>
      </c>
      <c r="N147" s="1528">
        <v>2</v>
      </c>
      <c r="O147" s="1528">
        <v>2</v>
      </c>
      <c r="P147" s="1528"/>
      <c r="Q147" s="1528"/>
      <c r="R147" s="1528"/>
      <c r="S147" s="1528" t="s">
        <v>2129</v>
      </c>
      <c r="T147" s="1528" t="s">
        <v>2129</v>
      </c>
      <c r="U147" s="1528" t="s">
        <v>2129</v>
      </c>
      <c r="V147" s="1528" t="s">
        <v>2129</v>
      </c>
      <c r="W147" s="1528" t="s">
        <v>2129</v>
      </c>
      <c r="X147" s="1528" t="s">
        <v>2129</v>
      </c>
      <c r="Y147" s="1528" t="s">
        <v>2129</v>
      </c>
      <c r="Z147" s="1528" t="s">
        <v>2129</v>
      </c>
      <c r="AA147" s="1528" t="s">
        <v>2129</v>
      </c>
      <c r="AB147" s="1528" t="s">
        <v>2129</v>
      </c>
      <c r="AC147" s="1528" t="s">
        <v>2129</v>
      </c>
      <c r="AD147" s="1528" t="s">
        <v>2129</v>
      </c>
      <c r="AE147" s="1528" t="s">
        <v>2129</v>
      </c>
      <c r="AF147" s="1528" t="s">
        <v>2129</v>
      </c>
      <c r="AG147" s="1528" t="s">
        <v>2129</v>
      </c>
    </row>
    <row r="148" spans="1:33" ht="68.25" hidden="1" thickBot="1">
      <c r="A148" s="1529"/>
      <c r="B148" s="1533"/>
      <c r="C148" s="1529"/>
      <c r="D148" s="1409" t="s">
        <v>2276</v>
      </c>
      <c r="E148" s="1529"/>
      <c r="F148" s="1529"/>
      <c r="G148" s="1529"/>
      <c r="H148" s="1529"/>
      <c r="I148" s="1529"/>
      <c r="J148" s="1529"/>
      <c r="K148" s="1529"/>
      <c r="L148" s="1529"/>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row>
    <row r="149" spans="1:33" ht="25.5" hidden="1" customHeight="1">
      <c r="A149" s="1528">
        <v>31</v>
      </c>
      <c r="B149" s="1531">
        <v>1.7224300000000002E+35</v>
      </c>
      <c r="C149" s="1528" t="s">
        <v>2277</v>
      </c>
      <c r="D149" s="1528" t="s">
        <v>2278</v>
      </c>
      <c r="E149" s="1528">
        <v>10000</v>
      </c>
      <c r="F149" s="1528"/>
      <c r="G149" s="1528">
        <v>10000</v>
      </c>
      <c r="H149" s="1528">
        <v>10000</v>
      </c>
      <c r="I149" s="1528">
        <v>0</v>
      </c>
      <c r="J149" s="1528">
        <v>0</v>
      </c>
      <c r="K149" s="1528">
        <v>0</v>
      </c>
      <c r="L149" s="1528" t="s">
        <v>2129</v>
      </c>
      <c r="M149" s="1528" t="s">
        <v>2129</v>
      </c>
      <c r="N149" s="1528" t="s">
        <v>2129</v>
      </c>
      <c r="O149" s="1528" t="s">
        <v>2129</v>
      </c>
      <c r="P149" s="1528" t="s">
        <v>2129</v>
      </c>
      <c r="Q149" s="1528" t="s">
        <v>2129</v>
      </c>
      <c r="R149" s="1528" t="s">
        <v>2129</v>
      </c>
      <c r="S149" s="1410" t="s">
        <v>2163</v>
      </c>
      <c r="T149" s="1528"/>
      <c r="U149" s="1528"/>
      <c r="V149" s="1528">
        <v>3.2017000000000002</v>
      </c>
      <c r="W149" s="1528">
        <v>12.201700000000001</v>
      </c>
      <c r="X149" s="1528" t="s">
        <v>2131</v>
      </c>
      <c r="Y149" s="1528" t="s">
        <v>2132</v>
      </c>
      <c r="Z149" s="1528" t="s">
        <v>2132</v>
      </c>
      <c r="AA149" s="1528"/>
      <c r="AB149" s="1528"/>
      <c r="AC149" s="1528"/>
      <c r="AD149" s="1528" t="s">
        <v>2133</v>
      </c>
      <c r="AE149" s="1410" t="s">
        <v>2134</v>
      </c>
      <c r="AF149" s="1528"/>
      <c r="AG149" s="1528"/>
    </row>
    <row r="150" spans="1:33" ht="93" hidden="1" thickBot="1">
      <c r="A150" s="1530"/>
      <c r="B150" s="1532"/>
      <c r="C150" s="1530"/>
      <c r="D150" s="1529"/>
      <c r="E150" s="1529"/>
      <c r="F150" s="1529"/>
      <c r="G150" s="1529"/>
      <c r="H150" s="1529"/>
      <c r="I150" s="1529"/>
      <c r="J150" s="1529"/>
      <c r="K150" s="1529"/>
      <c r="L150" s="1529"/>
      <c r="M150" s="1529"/>
      <c r="N150" s="1529"/>
      <c r="O150" s="1529"/>
      <c r="P150" s="1529"/>
      <c r="Q150" s="1529"/>
      <c r="R150" s="1529"/>
      <c r="S150" s="1409" t="s">
        <v>2199</v>
      </c>
      <c r="T150" s="1529"/>
      <c r="U150" s="1529"/>
      <c r="V150" s="1529"/>
      <c r="W150" s="1529"/>
      <c r="X150" s="1529"/>
      <c r="Y150" s="1529"/>
      <c r="Z150" s="1529"/>
      <c r="AA150" s="1529"/>
      <c r="AB150" s="1529"/>
      <c r="AC150" s="1529"/>
      <c r="AD150" s="1529"/>
      <c r="AE150" s="1409" t="s">
        <v>2136</v>
      </c>
      <c r="AF150" s="1529"/>
      <c r="AG150" s="1529"/>
    </row>
    <row r="151" spans="1:33" ht="18.75" hidden="1" thickBot="1">
      <c r="A151" s="1530"/>
      <c r="B151" s="1532"/>
      <c r="C151" s="1530"/>
      <c r="D151" s="1410" t="s">
        <v>2279</v>
      </c>
      <c r="E151" s="1528" t="s">
        <v>2129</v>
      </c>
      <c r="F151" s="1528" t="s">
        <v>2129</v>
      </c>
      <c r="G151" s="1528" t="s">
        <v>2129</v>
      </c>
      <c r="H151" s="1528" t="s">
        <v>2129</v>
      </c>
      <c r="I151" s="1528" t="s">
        <v>2129</v>
      </c>
      <c r="J151" s="1528" t="s">
        <v>2129</v>
      </c>
      <c r="K151" s="1528" t="s">
        <v>2129</v>
      </c>
      <c r="L151" s="1528" t="s">
        <v>2232</v>
      </c>
      <c r="M151" s="1528">
        <v>792</v>
      </c>
      <c r="N151" s="1528">
        <v>1</v>
      </c>
      <c r="O151" s="1528">
        <v>1</v>
      </c>
      <c r="P151" s="1528"/>
      <c r="Q151" s="1528"/>
      <c r="R151" s="1528"/>
      <c r="S151" s="1528" t="s">
        <v>2129</v>
      </c>
      <c r="T151" s="1528" t="s">
        <v>2129</v>
      </c>
      <c r="U151" s="1528" t="s">
        <v>2129</v>
      </c>
      <c r="V151" s="1528" t="s">
        <v>2129</v>
      </c>
      <c r="W151" s="1528" t="s">
        <v>2129</v>
      </c>
      <c r="X151" s="1528" t="s">
        <v>2129</v>
      </c>
      <c r="Y151" s="1528" t="s">
        <v>2129</v>
      </c>
      <c r="Z151" s="1528" t="s">
        <v>2129</v>
      </c>
      <c r="AA151" s="1528" t="s">
        <v>2129</v>
      </c>
      <c r="AB151" s="1528" t="s">
        <v>2129</v>
      </c>
      <c r="AC151" s="1528" t="s">
        <v>2129</v>
      </c>
      <c r="AD151" s="1528" t="s">
        <v>2129</v>
      </c>
      <c r="AE151" s="1528" t="s">
        <v>2129</v>
      </c>
      <c r="AF151" s="1528" t="s">
        <v>2129</v>
      </c>
      <c r="AG151" s="1528" t="s">
        <v>2129</v>
      </c>
    </row>
    <row r="152" spans="1:33" ht="68.25" hidden="1" thickBot="1">
      <c r="A152" s="1529"/>
      <c r="B152" s="1533"/>
      <c r="C152" s="1529"/>
      <c r="D152" s="1409" t="s">
        <v>2280</v>
      </c>
      <c r="E152" s="1529"/>
      <c r="F152" s="1529"/>
      <c r="G152" s="1529"/>
      <c r="H152" s="1529"/>
      <c r="I152" s="1529"/>
      <c r="J152" s="1529"/>
      <c r="K152" s="1529"/>
      <c r="L152" s="1529"/>
      <c r="M152" s="1529"/>
      <c r="N152" s="1529"/>
      <c r="O152" s="1529"/>
      <c r="P152" s="1529"/>
      <c r="Q152" s="1529"/>
      <c r="R152" s="1529"/>
      <c r="S152" s="1529"/>
      <c r="T152" s="1529"/>
      <c r="U152" s="1529"/>
      <c r="V152" s="1529"/>
      <c r="W152" s="1529"/>
      <c r="X152" s="1529"/>
      <c r="Y152" s="1529"/>
      <c r="Z152" s="1529"/>
      <c r="AA152" s="1529"/>
      <c r="AB152" s="1529"/>
      <c r="AC152" s="1529"/>
      <c r="AD152" s="1529"/>
      <c r="AE152" s="1529"/>
      <c r="AF152" s="1529"/>
      <c r="AG152" s="1529"/>
    </row>
    <row r="153" spans="1:33" ht="60" hidden="1" thickBot="1">
      <c r="A153" s="1528">
        <v>32</v>
      </c>
      <c r="B153" s="1531">
        <v>1.7224300000000002E+35</v>
      </c>
      <c r="C153" s="1528" t="s">
        <v>522</v>
      </c>
      <c r="D153" s="1528" t="s">
        <v>522</v>
      </c>
      <c r="E153" s="1528">
        <v>0</v>
      </c>
      <c r="F153" s="1528"/>
      <c r="G153" s="1528">
        <v>0</v>
      </c>
      <c r="H153" s="1528">
        <v>0</v>
      </c>
      <c r="I153" s="1528">
        <v>0</v>
      </c>
      <c r="J153" s="1528">
        <v>0</v>
      </c>
      <c r="K153" s="1528">
        <v>0</v>
      </c>
      <c r="L153" s="1528" t="s">
        <v>2129</v>
      </c>
      <c r="M153" s="1528" t="s">
        <v>2129</v>
      </c>
      <c r="N153" s="1528" t="s">
        <v>2129</v>
      </c>
      <c r="O153" s="1528" t="s">
        <v>2129</v>
      </c>
      <c r="P153" s="1528" t="s">
        <v>2129</v>
      </c>
      <c r="Q153" s="1528" t="s">
        <v>2129</v>
      </c>
      <c r="R153" s="1528" t="s">
        <v>2129</v>
      </c>
      <c r="S153" s="1410" t="s">
        <v>2243</v>
      </c>
      <c r="T153" s="1528"/>
      <c r="U153" s="1528"/>
      <c r="V153" s="1528">
        <v>5.2016999999999998</v>
      </c>
      <c r="W153" s="1528">
        <v>12.201700000000001</v>
      </c>
      <c r="X153" s="1528" t="s">
        <v>2281</v>
      </c>
      <c r="Y153" s="1528" t="s">
        <v>2282</v>
      </c>
      <c r="Z153" s="1528" t="s">
        <v>2132</v>
      </c>
      <c r="AA153" s="1528"/>
      <c r="AB153" s="1528"/>
      <c r="AC153" s="1528"/>
      <c r="AD153" s="1528"/>
      <c r="AE153" s="1410" t="s">
        <v>2198</v>
      </c>
      <c r="AF153" s="1528"/>
      <c r="AG153" s="1528" t="s">
        <v>2283</v>
      </c>
    </row>
    <row r="154" spans="1:33" ht="101.25" hidden="1" thickBot="1">
      <c r="A154" s="1530"/>
      <c r="B154" s="1532"/>
      <c r="C154" s="1530"/>
      <c r="D154" s="1529"/>
      <c r="E154" s="1529"/>
      <c r="F154" s="1529"/>
      <c r="G154" s="1529"/>
      <c r="H154" s="1529"/>
      <c r="I154" s="1529"/>
      <c r="J154" s="1529"/>
      <c r="K154" s="1529"/>
      <c r="L154" s="1529"/>
      <c r="M154" s="1529"/>
      <c r="N154" s="1529"/>
      <c r="O154" s="1529"/>
      <c r="P154" s="1529"/>
      <c r="Q154" s="1529"/>
      <c r="R154" s="1529"/>
      <c r="S154" s="1409" t="s">
        <v>2284</v>
      </c>
      <c r="T154" s="1529"/>
      <c r="U154" s="1529"/>
      <c r="V154" s="1529"/>
      <c r="W154" s="1529"/>
      <c r="X154" s="1529"/>
      <c r="Y154" s="1529"/>
      <c r="Z154" s="1529"/>
      <c r="AA154" s="1529"/>
      <c r="AB154" s="1529"/>
      <c r="AC154" s="1529"/>
      <c r="AD154" s="1529"/>
      <c r="AE154" s="1409" t="s">
        <v>2200</v>
      </c>
      <c r="AF154" s="1529"/>
      <c r="AG154" s="1529"/>
    </row>
    <row r="155" spans="1:33" ht="15.75" hidden="1" thickBot="1">
      <c r="A155" s="1530"/>
      <c r="B155" s="1532"/>
      <c r="C155" s="1530"/>
      <c r="D155" s="1410" t="s">
        <v>2285</v>
      </c>
      <c r="E155" s="1528" t="s">
        <v>2129</v>
      </c>
      <c r="F155" s="1528" t="s">
        <v>2129</v>
      </c>
      <c r="G155" s="1528" t="s">
        <v>2129</v>
      </c>
      <c r="H155" s="1528" t="s">
        <v>2129</v>
      </c>
      <c r="I155" s="1528" t="s">
        <v>2129</v>
      </c>
      <c r="J155" s="1528" t="s">
        <v>2129</v>
      </c>
      <c r="K155" s="1528" t="s">
        <v>2129</v>
      </c>
      <c r="L155" s="1528" t="s">
        <v>2286</v>
      </c>
      <c r="M155" s="1528">
        <v>166</v>
      </c>
      <c r="N155" s="1528">
        <v>40</v>
      </c>
      <c r="O155" s="1528">
        <v>40</v>
      </c>
      <c r="P155" s="1528"/>
      <c r="Q155" s="1528"/>
      <c r="R155" s="1528"/>
      <c r="S155" s="1528" t="s">
        <v>2129</v>
      </c>
      <c r="T155" s="1528" t="s">
        <v>2129</v>
      </c>
      <c r="U155" s="1528" t="s">
        <v>2129</v>
      </c>
      <c r="V155" s="1528" t="s">
        <v>2129</v>
      </c>
      <c r="W155" s="1528" t="s">
        <v>2129</v>
      </c>
      <c r="X155" s="1528" t="s">
        <v>2129</v>
      </c>
      <c r="Y155" s="1528" t="s">
        <v>2129</v>
      </c>
      <c r="Z155" s="1528" t="s">
        <v>2129</v>
      </c>
      <c r="AA155" s="1528" t="s">
        <v>2129</v>
      </c>
      <c r="AB155" s="1528" t="s">
        <v>2129</v>
      </c>
      <c r="AC155" s="1528" t="s">
        <v>2129</v>
      </c>
      <c r="AD155" s="1528" t="s">
        <v>2129</v>
      </c>
      <c r="AE155" s="1528" t="s">
        <v>2129</v>
      </c>
      <c r="AF155" s="1528" t="s">
        <v>2129</v>
      </c>
      <c r="AG155" s="1528" t="s">
        <v>2129</v>
      </c>
    </row>
    <row r="156" spans="1:33" ht="68.25" hidden="1" thickBot="1">
      <c r="A156" s="1530"/>
      <c r="B156" s="1532"/>
      <c r="C156" s="1530"/>
      <c r="D156" s="1409" t="s">
        <v>2287</v>
      </c>
      <c r="E156" s="1529"/>
      <c r="F156" s="1529"/>
      <c r="G156" s="1529"/>
      <c r="H156" s="1529"/>
      <c r="I156" s="1529"/>
      <c r="J156" s="1529"/>
      <c r="K156" s="1529"/>
      <c r="L156" s="1529"/>
      <c r="M156" s="1529"/>
      <c r="N156" s="1529"/>
      <c r="O156" s="1529"/>
      <c r="P156" s="1529"/>
      <c r="Q156" s="1529"/>
      <c r="R156" s="1529"/>
      <c r="S156" s="1529"/>
      <c r="T156" s="1529"/>
      <c r="U156" s="1529"/>
      <c r="V156" s="1529"/>
      <c r="W156" s="1529"/>
      <c r="X156" s="1529"/>
      <c r="Y156" s="1529"/>
      <c r="Z156" s="1529"/>
      <c r="AA156" s="1529"/>
      <c r="AB156" s="1529"/>
      <c r="AC156" s="1529"/>
      <c r="AD156" s="1529"/>
      <c r="AE156" s="1529"/>
      <c r="AF156" s="1529"/>
      <c r="AG156" s="1529"/>
    </row>
    <row r="157" spans="1:33" ht="15.75" hidden="1" thickBot="1">
      <c r="A157" s="1530"/>
      <c r="B157" s="1532"/>
      <c r="C157" s="1530"/>
      <c r="D157" s="1410" t="s">
        <v>2288</v>
      </c>
      <c r="E157" s="1528" t="s">
        <v>2129</v>
      </c>
      <c r="F157" s="1528" t="s">
        <v>2129</v>
      </c>
      <c r="G157" s="1528" t="s">
        <v>2129</v>
      </c>
      <c r="H157" s="1528" t="s">
        <v>2129</v>
      </c>
      <c r="I157" s="1528" t="s">
        <v>2129</v>
      </c>
      <c r="J157" s="1528" t="s">
        <v>2129</v>
      </c>
      <c r="K157" s="1528" t="s">
        <v>2129</v>
      </c>
      <c r="L157" s="1528" t="s">
        <v>2286</v>
      </c>
      <c r="M157" s="1528">
        <v>166</v>
      </c>
      <c r="N157" s="1528">
        <v>40</v>
      </c>
      <c r="O157" s="1528">
        <v>40</v>
      </c>
      <c r="P157" s="1528"/>
      <c r="Q157" s="1528"/>
      <c r="R157" s="1528"/>
      <c r="S157" s="1528" t="s">
        <v>2129</v>
      </c>
      <c r="T157" s="1528" t="s">
        <v>2129</v>
      </c>
      <c r="U157" s="1528" t="s">
        <v>2129</v>
      </c>
      <c r="V157" s="1528" t="s">
        <v>2129</v>
      </c>
      <c r="W157" s="1528" t="s">
        <v>2129</v>
      </c>
      <c r="X157" s="1528" t="s">
        <v>2129</v>
      </c>
      <c r="Y157" s="1528" t="s">
        <v>2129</v>
      </c>
      <c r="Z157" s="1528" t="s">
        <v>2129</v>
      </c>
      <c r="AA157" s="1528" t="s">
        <v>2129</v>
      </c>
      <c r="AB157" s="1528" t="s">
        <v>2129</v>
      </c>
      <c r="AC157" s="1528" t="s">
        <v>2129</v>
      </c>
      <c r="AD157" s="1528" t="s">
        <v>2129</v>
      </c>
      <c r="AE157" s="1528" t="s">
        <v>2129</v>
      </c>
      <c r="AF157" s="1528" t="s">
        <v>2129</v>
      </c>
      <c r="AG157" s="1528" t="s">
        <v>2129</v>
      </c>
    </row>
    <row r="158" spans="1:33" ht="60" hidden="1" thickBot="1">
      <c r="A158" s="1530"/>
      <c r="B158" s="1532"/>
      <c r="C158" s="1530"/>
      <c r="D158" s="1409" t="s">
        <v>2289</v>
      </c>
      <c r="E158" s="1529"/>
      <c r="F158" s="1529"/>
      <c r="G158" s="1529"/>
      <c r="H158" s="1529"/>
      <c r="I158" s="1529"/>
      <c r="J158" s="1529"/>
      <c r="K158" s="1529"/>
      <c r="L158" s="1529"/>
      <c r="M158" s="1529"/>
      <c r="N158" s="1529"/>
      <c r="O158" s="1529"/>
      <c r="P158" s="1529"/>
      <c r="Q158" s="1529"/>
      <c r="R158" s="1529"/>
      <c r="S158" s="1529"/>
      <c r="T158" s="1529"/>
      <c r="U158" s="1529"/>
      <c r="V158" s="1529"/>
      <c r="W158" s="1529"/>
      <c r="X158" s="1529"/>
      <c r="Y158" s="1529"/>
      <c r="Z158" s="1529"/>
      <c r="AA158" s="1529"/>
      <c r="AB158" s="1529"/>
      <c r="AC158" s="1529"/>
      <c r="AD158" s="1529"/>
      <c r="AE158" s="1529"/>
      <c r="AF158" s="1529"/>
      <c r="AG158" s="1529"/>
    </row>
    <row r="159" spans="1:33" ht="18.75" hidden="1" thickBot="1">
      <c r="A159" s="1530"/>
      <c r="B159" s="1532"/>
      <c r="C159" s="1530"/>
      <c r="D159" s="1410" t="s">
        <v>2290</v>
      </c>
      <c r="E159" s="1528" t="s">
        <v>2129</v>
      </c>
      <c r="F159" s="1528" t="s">
        <v>2129</v>
      </c>
      <c r="G159" s="1528" t="s">
        <v>2129</v>
      </c>
      <c r="H159" s="1528" t="s">
        <v>2129</v>
      </c>
      <c r="I159" s="1528" t="s">
        <v>2129</v>
      </c>
      <c r="J159" s="1528" t="s">
        <v>2129</v>
      </c>
      <c r="K159" s="1528" t="s">
        <v>2129</v>
      </c>
      <c r="L159" s="1528" t="s">
        <v>2286</v>
      </c>
      <c r="M159" s="1528">
        <v>166</v>
      </c>
      <c r="N159" s="1528">
        <v>40</v>
      </c>
      <c r="O159" s="1528">
        <v>40</v>
      </c>
      <c r="P159" s="1528"/>
      <c r="Q159" s="1528"/>
      <c r="R159" s="1528"/>
      <c r="S159" s="1528" t="s">
        <v>2129</v>
      </c>
      <c r="T159" s="1528" t="s">
        <v>2129</v>
      </c>
      <c r="U159" s="1528" t="s">
        <v>2129</v>
      </c>
      <c r="V159" s="1528" t="s">
        <v>2129</v>
      </c>
      <c r="W159" s="1528" t="s">
        <v>2129</v>
      </c>
      <c r="X159" s="1528" t="s">
        <v>2129</v>
      </c>
      <c r="Y159" s="1528" t="s">
        <v>2129</v>
      </c>
      <c r="Z159" s="1528" t="s">
        <v>2129</v>
      </c>
      <c r="AA159" s="1528" t="s">
        <v>2129</v>
      </c>
      <c r="AB159" s="1528" t="s">
        <v>2129</v>
      </c>
      <c r="AC159" s="1528" t="s">
        <v>2129</v>
      </c>
      <c r="AD159" s="1528" t="s">
        <v>2129</v>
      </c>
      <c r="AE159" s="1528" t="s">
        <v>2129</v>
      </c>
      <c r="AF159" s="1528" t="s">
        <v>2129</v>
      </c>
      <c r="AG159" s="1528" t="s">
        <v>2129</v>
      </c>
    </row>
    <row r="160" spans="1:33" ht="60" hidden="1" thickBot="1">
      <c r="A160" s="1529"/>
      <c r="B160" s="1533"/>
      <c r="C160" s="1529"/>
      <c r="D160" s="1409" t="s">
        <v>2289</v>
      </c>
      <c r="E160" s="1529"/>
      <c r="F160" s="1529"/>
      <c r="G160" s="1529"/>
      <c r="H160" s="1529"/>
      <c r="I160" s="1529"/>
      <c r="J160" s="1529"/>
      <c r="K160" s="1529"/>
      <c r="L160" s="1529"/>
      <c r="M160" s="1529"/>
      <c r="N160" s="1529"/>
      <c r="O160" s="1529"/>
      <c r="P160" s="1529"/>
      <c r="Q160" s="1529"/>
      <c r="R160" s="1529"/>
      <c r="S160" s="1529"/>
      <c r="T160" s="1529"/>
      <c r="U160" s="1529"/>
      <c r="V160" s="1529"/>
      <c r="W160" s="1529"/>
      <c r="X160" s="1529"/>
      <c r="Y160" s="1529"/>
      <c r="Z160" s="1529"/>
      <c r="AA160" s="1529"/>
      <c r="AB160" s="1529"/>
      <c r="AC160" s="1529"/>
      <c r="AD160" s="1529"/>
      <c r="AE160" s="1529"/>
      <c r="AF160" s="1529"/>
      <c r="AG160" s="1529"/>
    </row>
    <row r="161" spans="1:33" ht="60" hidden="1" thickBot="1">
      <c r="A161" s="1528">
        <v>33</v>
      </c>
      <c r="B161" s="1531">
        <v>1.7224300000000002E+35</v>
      </c>
      <c r="C161" s="1528" t="s">
        <v>2291</v>
      </c>
      <c r="D161" s="1528" t="s">
        <v>2292</v>
      </c>
      <c r="E161" s="1528">
        <v>0</v>
      </c>
      <c r="F161" s="1528"/>
      <c r="G161" s="1528">
        <v>0</v>
      </c>
      <c r="H161" s="1528">
        <v>0</v>
      </c>
      <c r="I161" s="1528">
        <v>0</v>
      </c>
      <c r="J161" s="1528">
        <v>0</v>
      </c>
      <c r="K161" s="1528">
        <v>0</v>
      </c>
      <c r="L161" s="1528" t="s">
        <v>2129</v>
      </c>
      <c r="M161" s="1528" t="s">
        <v>2129</v>
      </c>
      <c r="N161" s="1528" t="s">
        <v>2129</v>
      </c>
      <c r="O161" s="1528" t="s">
        <v>2129</v>
      </c>
      <c r="P161" s="1528" t="s">
        <v>2129</v>
      </c>
      <c r="Q161" s="1528" t="s">
        <v>2129</v>
      </c>
      <c r="R161" s="1528" t="s">
        <v>2129</v>
      </c>
      <c r="S161" s="1410" t="s">
        <v>2169</v>
      </c>
      <c r="T161" s="1528"/>
      <c r="U161" s="1528"/>
      <c r="V161" s="1528">
        <v>5.2016999999999998</v>
      </c>
      <c r="W161" s="1528">
        <v>12.201700000000001</v>
      </c>
      <c r="X161" s="1528" t="s">
        <v>2281</v>
      </c>
      <c r="Y161" s="1528" t="s">
        <v>2282</v>
      </c>
      <c r="Z161" s="1528" t="s">
        <v>2132</v>
      </c>
      <c r="AA161" s="1528"/>
      <c r="AB161" s="1528"/>
      <c r="AC161" s="1528"/>
      <c r="AD161" s="1528"/>
      <c r="AE161" s="1410" t="s">
        <v>2198</v>
      </c>
      <c r="AF161" s="1528"/>
      <c r="AG161" s="1528" t="s">
        <v>2283</v>
      </c>
    </row>
    <row r="162" spans="1:33" ht="93" hidden="1" thickBot="1">
      <c r="A162" s="1530"/>
      <c r="B162" s="1532"/>
      <c r="C162" s="1530"/>
      <c r="D162" s="1529"/>
      <c r="E162" s="1529"/>
      <c r="F162" s="1529"/>
      <c r="G162" s="1529"/>
      <c r="H162" s="1529"/>
      <c r="I162" s="1529"/>
      <c r="J162" s="1529"/>
      <c r="K162" s="1529"/>
      <c r="L162" s="1529"/>
      <c r="M162" s="1529"/>
      <c r="N162" s="1529"/>
      <c r="O162" s="1529"/>
      <c r="P162" s="1529"/>
      <c r="Q162" s="1529"/>
      <c r="R162" s="1529"/>
      <c r="S162" s="1409" t="s">
        <v>2293</v>
      </c>
      <c r="T162" s="1529"/>
      <c r="U162" s="1529"/>
      <c r="V162" s="1529"/>
      <c r="W162" s="1529"/>
      <c r="X162" s="1529"/>
      <c r="Y162" s="1529"/>
      <c r="Z162" s="1529"/>
      <c r="AA162" s="1529"/>
      <c r="AB162" s="1529"/>
      <c r="AC162" s="1529"/>
      <c r="AD162" s="1529"/>
      <c r="AE162" s="1409" t="s">
        <v>2200</v>
      </c>
      <c r="AF162" s="1529"/>
      <c r="AG162" s="1529"/>
    </row>
    <row r="163" spans="1:33" ht="18.75" hidden="1" thickBot="1">
      <c r="A163" s="1530"/>
      <c r="B163" s="1532"/>
      <c r="C163" s="1530"/>
      <c r="D163" s="1410" t="s">
        <v>2294</v>
      </c>
      <c r="E163" s="1528" t="s">
        <v>2129</v>
      </c>
      <c r="F163" s="1528" t="s">
        <v>2129</v>
      </c>
      <c r="G163" s="1528" t="s">
        <v>2129</v>
      </c>
      <c r="H163" s="1528" t="s">
        <v>2129</v>
      </c>
      <c r="I163" s="1528" t="s">
        <v>2129</v>
      </c>
      <c r="J163" s="1528" t="s">
        <v>2129</v>
      </c>
      <c r="K163" s="1528" t="s">
        <v>2129</v>
      </c>
      <c r="L163" s="1528" t="s">
        <v>2286</v>
      </c>
      <c r="M163" s="1528">
        <v>166</v>
      </c>
      <c r="N163" s="1528">
        <v>25</v>
      </c>
      <c r="O163" s="1528">
        <v>25</v>
      </c>
      <c r="P163" s="1528"/>
      <c r="Q163" s="1528"/>
      <c r="R163" s="1528"/>
      <c r="S163" s="1528" t="s">
        <v>2129</v>
      </c>
      <c r="T163" s="1528" t="s">
        <v>2129</v>
      </c>
      <c r="U163" s="1528" t="s">
        <v>2129</v>
      </c>
      <c r="V163" s="1528" t="s">
        <v>2129</v>
      </c>
      <c r="W163" s="1528" t="s">
        <v>2129</v>
      </c>
      <c r="X163" s="1528" t="s">
        <v>2129</v>
      </c>
      <c r="Y163" s="1528" t="s">
        <v>2129</v>
      </c>
      <c r="Z163" s="1528" t="s">
        <v>2129</v>
      </c>
      <c r="AA163" s="1528" t="s">
        <v>2129</v>
      </c>
      <c r="AB163" s="1528" t="s">
        <v>2129</v>
      </c>
      <c r="AC163" s="1528" t="s">
        <v>2129</v>
      </c>
      <c r="AD163" s="1528" t="s">
        <v>2129</v>
      </c>
      <c r="AE163" s="1528" t="s">
        <v>2129</v>
      </c>
      <c r="AF163" s="1528" t="s">
        <v>2129</v>
      </c>
      <c r="AG163" s="1528" t="s">
        <v>2129</v>
      </c>
    </row>
    <row r="164" spans="1:33" ht="60" hidden="1" thickBot="1">
      <c r="A164" s="1530"/>
      <c r="B164" s="1532"/>
      <c r="C164" s="1530"/>
      <c r="D164" s="1409" t="s">
        <v>2295</v>
      </c>
      <c r="E164" s="1529"/>
      <c r="F164" s="1529"/>
      <c r="G164" s="1529"/>
      <c r="H164" s="1529"/>
      <c r="I164" s="1529"/>
      <c r="J164" s="1529"/>
      <c r="K164" s="1529"/>
      <c r="L164" s="1529"/>
      <c r="M164" s="1529"/>
      <c r="N164" s="1529"/>
      <c r="O164" s="1529"/>
      <c r="P164" s="1529"/>
      <c r="Q164" s="1529"/>
      <c r="R164" s="1529"/>
      <c r="S164" s="1529"/>
      <c r="T164" s="1529"/>
      <c r="U164" s="1529"/>
      <c r="V164" s="1529"/>
      <c r="W164" s="1529"/>
      <c r="X164" s="1529"/>
      <c r="Y164" s="1529"/>
      <c r="Z164" s="1529"/>
      <c r="AA164" s="1529"/>
      <c r="AB164" s="1529"/>
      <c r="AC164" s="1529"/>
      <c r="AD164" s="1529"/>
      <c r="AE164" s="1529"/>
      <c r="AF164" s="1529"/>
      <c r="AG164" s="1529"/>
    </row>
    <row r="165" spans="1:33" ht="18.75" hidden="1" thickBot="1">
      <c r="A165" s="1530"/>
      <c r="B165" s="1532"/>
      <c r="C165" s="1530"/>
      <c r="D165" s="1410" t="s">
        <v>2296</v>
      </c>
      <c r="E165" s="1528" t="s">
        <v>2129</v>
      </c>
      <c r="F165" s="1528" t="s">
        <v>2129</v>
      </c>
      <c r="G165" s="1528" t="s">
        <v>2129</v>
      </c>
      <c r="H165" s="1528" t="s">
        <v>2129</v>
      </c>
      <c r="I165" s="1528" t="s">
        <v>2129</v>
      </c>
      <c r="J165" s="1528" t="s">
        <v>2129</v>
      </c>
      <c r="K165" s="1528" t="s">
        <v>2129</v>
      </c>
      <c r="L165" s="1528" t="s">
        <v>2286</v>
      </c>
      <c r="M165" s="1528">
        <v>166</v>
      </c>
      <c r="N165" s="1528">
        <v>25</v>
      </c>
      <c r="O165" s="1528">
        <v>25</v>
      </c>
      <c r="P165" s="1528"/>
      <c r="Q165" s="1528"/>
      <c r="R165" s="1528"/>
      <c r="S165" s="1528" t="s">
        <v>2129</v>
      </c>
      <c r="T165" s="1528" t="s">
        <v>2129</v>
      </c>
      <c r="U165" s="1528" t="s">
        <v>2129</v>
      </c>
      <c r="V165" s="1528" t="s">
        <v>2129</v>
      </c>
      <c r="W165" s="1528" t="s">
        <v>2129</v>
      </c>
      <c r="X165" s="1528" t="s">
        <v>2129</v>
      </c>
      <c r="Y165" s="1528" t="s">
        <v>2129</v>
      </c>
      <c r="Z165" s="1528" t="s">
        <v>2129</v>
      </c>
      <c r="AA165" s="1528" t="s">
        <v>2129</v>
      </c>
      <c r="AB165" s="1528" t="s">
        <v>2129</v>
      </c>
      <c r="AC165" s="1528" t="s">
        <v>2129</v>
      </c>
      <c r="AD165" s="1528" t="s">
        <v>2129</v>
      </c>
      <c r="AE165" s="1528" t="s">
        <v>2129</v>
      </c>
      <c r="AF165" s="1528" t="s">
        <v>2129</v>
      </c>
      <c r="AG165" s="1528" t="s">
        <v>2129</v>
      </c>
    </row>
    <row r="166" spans="1:33" ht="68.25" hidden="1" thickBot="1">
      <c r="A166" s="1530"/>
      <c r="B166" s="1532"/>
      <c r="C166" s="1530"/>
      <c r="D166" s="1409" t="s">
        <v>2297</v>
      </c>
      <c r="E166" s="1529"/>
      <c r="F166" s="1529"/>
      <c r="G166" s="1529"/>
      <c r="H166" s="1529"/>
      <c r="I166" s="1529"/>
      <c r="J166" s="1529"/>
      <c r="K166" s="1529"/>
      <c r="L166" s="1529"/>
      <c r="M166" s="1529"/>
      <c r="N166" s="1529"/>
      <c r="O166" s="1529"/>
      <c r="P166" s="1529"/>
      <c r="Q166" s="1529"/>
      <c r="R166" s="1529"/>
      <c r="S166" s="1529"/>
      <c r="T166" s="1529"/>
      <c r="U166" s="1529"/>
      <c r="V166" s="1529"/>
      <c r="W166" s="1529"/>
      <c r="X166" s="1529"/>
      <c r="Y166" s="1529"/>
      <c r="Z166" s="1529"/>
      <c r="AA166" s="1529"/>
      <c r="AB166" s="1529"/>
      <c r="AC166" s="1529"/>
      <c r="AD166" s="1529"/>
      <c r="AE166" s="1529"/>
      <c r="AF166" s="1529"/>
      <c r="AG166" s="1529"/>
    </row>
    <row r="167" spans="1:33" ht="15.75" hidden="1" thickBot="1">
      <c r="A167" s="1530"/>
      <c r="B167" s="1532"/>
      <c r="C167" s="1530"/>
      <c r="D167" s="1410" t="s">
        <v>2298</v>
      </c>
      <c r="E167" s="1528" t="s">
        <v>2129</v>
      </c>
      <c r="F167" s="1528" t="s">
        <v>2129</v>
      </c>
      <c r="G167" s="1528" t="s">
        <v>2129</v>
      </c>
      <c r="H167" s="1528" t="s">
        <v>2129</v>
      </c>
      <c r="I167" s="1528" t="s">
        <v>2129</v>
      </c>
      <c r="J167" s="1528" t="s">
        <v>2129</v>
      </c>
      <c r="K167" s="1528" t="s">
        <v>2129</v>
      </c>
      <c r="L167" s="1528" t="s">
        <v>2286</v>
      </c>
      <c r="M167" s="1528">
        <v>166</v>
      </c>
      <c r="N167" s="1528">
        <v>25</v>
      </c>
      <c r="O167" s="1528">
        <v>25</v>
      </c>
      <c r="P167" s="1528"/>
      <c r="Q167" s="1528"/>
      <c r="R167" s="1528"/>
      <c r="S167" s="1528" t="s">
        <v>2129</v>
      </c>
      <c r="T167" s="1528" t="s">
        <v>2129</v>
      </c>
      <c r="U167" s="1528" t="s">
        <v>2129</v>
      </c>
      <c r="V167" s="1528" t="s">
        <v>2129</v>
      </c>
      <c r="W167" s="1528" t="s">
        <v>2129</v>
      </c>
      <c r="X167" s="1528" t="s">
        <v>2129</v>
      </c>
      <c r="Y167" s="1528" t="s">
        <v>2129</v>
      </c>
      <c r="Z167" s="1528" t="s">
        <v>2129</v>
      </c>
      <c r="AA167" s="1528" t="s">
        <v>2129</v>
      </c>
      <c r="AB167" s="1528" t="s">
        <v>2129</v>
      </c>
      <c r="AC167" s="1528" t="s">
        <v>2129</v>
      </c>
      <c r="AD167" s="1528" t="s">
        <v>2129</v>
      </c>
      <c r="AE167" s="1528" t="s">
        <v>2129</v>
      </c>
      <c r="AF167" s="1528" t="s">
        <v>2129</v>
      </c>
      <c r="AG167" s="1528" t="s">
        <v>2129</v>
      </c>
    </row>
    <row r="168" spans="1:33" ht="60" hidden="1" thickBot="1">
      <c r="A168" s="1529"/>
      <c r="B168" s="1533"/>
      <c r="C168" s="1529"/>
      <c r="D168" s="1409" t="s">
        <v>2295</v>
      </c>
      <c r="E168" s="1529"/>
      <c r="F168" s="1529"/>
      <c r="G168" s="1529"/>
      <c r="H168" s="1529"/>
      <c r="I168" s="1529"/>
      <c r="J168" s="1529"/>
      <c r="K168" s="1529"/>
      <c r="L168" s="1529"/>
      <c r="M168" s="1529"/>
      <c r="N168" s="1529"/>
      <c r="O168" s="1529"/>
      <c r="P168" s="1529"/>
      <c r="Q168" s="1529"/>
      <c r="R168" s="1529"/>
      <c r="S168" s="1529"/>
      <c r="T168" s="1529"/>
      <c r="U168" s="1529"/>
      <c r="V168" s="1529"/>
      <c r="W168" s="1529"/>
      <c r="X168" s="1529"/>
      <c r="Y168" s="1529"/>
      <c r="Z168" s="1529"/>
      <c r="AA168" s="1529"/>
      <c r="AB168" s="1529"/>
      <c r="AC168" s="1529"/>
      <c r="AD168" s="1529"/>
      <c r="AE168" s="1529"/>
      <c r="AF168" s="1529"/>
      <c r="AG168" s="1529"/>
    </row>
    <row r="169" spans="1:33" ht="23.25" hidden="1" customHeight="1" thickBot="1">
      <c r="A169" s="1528">
        <v>34</v>
      </c>
      <c r="B169" s="1531">
        <v>1.7224300000000002E+35</v>
      </c>
      <c r="C169" s="1528" t="s">
        <v>2299</v>
      </c>
      <c r="D169" s="1528" t="s">
        <v>2300</v>
      </c>
      <c r="E169" s="1528">
        <v>0</v>
      </c>
      <c r="F169" s="1528"/>
      <c r="G169" s="1528">
        <v>0</v>
      </c>
      <c r="H169" s="1528">
        <v>0</v>
      </c>
      <c r="I169" s="1528">
        <v>0</v>
      </c>
      <c r="J169" s="1528">
        <v>0</v>
      </c>
      <c r="K169" s="1528">
        <v>0</v>
      </c>
      <c r="L169" s="1528" t="s">
        <v>2129</v>
      </c>
      <c r="M169" s="1528" t="s">
        <v>2129</v>
      </c>
      <c r="N169" s="1528" t="s">
        <v>2129</v>
      </c>
      <c r="O169" s="1528" t="s">
        <v>2129</v>
      </c>
      <c r="P169" s="1528" t="s">
        <v>2129</v>
      </c>
      <c r="Q169" s="1528" t="s">
        <v>2129</v>
      </c>
      <c r="R169" s="1528" t="s">
        <v>2129</v>
      </c>
      <c r="S169" s="1410" t="s">
        <v>2169</v>
      </c>
      <c r="T169" s="1528"/>
      <c r="U169" s="1528"/>
      <c r="V169" s="1528">
        <v>5.2016999999999998</v>
      </c>
      <c r="W169" s="1528">
        <v>12.201700000000001</v>
      </c>
      <c r="X169" s="1528" t="s">
        <v>2281</v>
      </c>
      <c r="Y169" s="1528" t="s">
        <v>2132</v>
      </c>
      <c r="Z169" s="1528" t="s">
        <v>2282</v>
      </c>
      <c r="AA169" s="1410" t="s">
        <v>2301</v>
      </c>
      <c r="AB169" s="1528"/>
      <c r="AC169" s="1528"/>
      <c r="AD169" s="1528"/>
      <c r="AE169" s="1410" t="s">
        <v>2134</v>
      </c>
      <c r="AF169" s="1528"/>
      <c r="AG169" s="1528" t="s">
        <v>2283</v>
      </c>
    </row>
    <row r="170" spans="1:33" ht="93" hidden="1" thickBot="1">
      <c r="A170" s="1530"/>
      <c r="B170" s="1532"/>
      <c r="C170" s="1530"/>
      <c r="D170" s="1530"/>
      <c r="E170" s="1530"/>
      <c r="F170" s="1530"/>
      <c r="G170" s="1530"/>
      <c r="H170" s="1530"/>
      <c r="I170" s="1530"/>
      <c r="J170" s="1530"/>
      <c r="K170" s="1530"/>
      <c r="L170" s="1530"/>
      <c r="M170" s="1530"/>
      <c r="N170" s="1530"/>
      <c r="O170" s="1530"/>
      <c r="P170" s="1530"/>
      <c r="Q170" s="1530"/>
      <c r="R170" s="1530"/>
      <c r="S170" s="1410" t="s">
        <v>2302</v>
      </c>
      <c r="T170" s="1530"/>
      <c r="U170" s="1530"/>
      <c r="V170" s="1530"/>
      <c r="W170" s="1530"/>
      <c r="X170" s="1530"/>
      <c r="Y170" s="1530"/>
      <c r="Z170" s="1530"/>
      <c r="AA170" s="1410" t="s">
        <v>2303</v>
      </c>
      <c r="AB170" s="1530"/>
      <c r="AC170" s="1530"/>
      <c r="AD170" s="1530"/>
      <c r="AE170" s="1410" t="s">
        <v>2200</v>
      </c>
      <c r="AF170" s="1530"/>
      <c r="AG170" s="1530"/>
    </row>
    <row r="171" spans="1:33" ht="15.75" hidden="1" thickBot="1">
      <c r="A171" s="1530"/>
      <c r="B171" s="1532"/>
      <c r="C171" s="1530"/>
      <c r="D171" s="1529"/>
      <c r="E171" s="1529"/>
      <c r="F171" s="1529"/>
      <c r="G171" s="1529"/>
      <c r="H171" s="1529"/>
      <c r="I171" s="1529"/>
      <c r="J171" s="1529"/>
      <c r="K171" s="1529"/>
      <c r="L171" s="1529"/>
      <c r="M171" s="1529"/>
      <c r="N171" s="1529"/>
      <c r="O171" s="1529"/>
      <c r="P171" s="1529"/>
      <c r="Q171" s="1529"/>
      <c r="R171" s="1529"/>
      <c r="S171" s="1409"/>
      <c r="T171" s="1529"/>
      <c r="U171" s="1529"/>
      <c r="V171" s="1529"/>
      <c r="W171" s="1529"/>
      <c r="X171" s="1529"/>
      <c r="Y171" s="1529"/>
      <c r="Z171" s="1529"/>
      <c r="AA171" s="1409"/>
      <c r="AB171" s="1529"/>
      <c r="AC171" s="1529"/>
      <c r="AD171" s="1529"/>
      <c r="AE171" s="1409"/>
      <c r="AF171" s="1529"/>
      <c r="AG171" s="1529"/>
    </row>
    <row r="172" spans="1:33" ht="18.75" hidden="1" thickBot="1">
      <c r="A172" s="1530"/>
      <c r="B172" s="1532"/>
      <c r="C172" s="1530"/>
      <c r="D172" s="1410" t="s">
        <v>2304</v>
      </c>
      <c r="E172" s="1528" t="s">
        <v>2129</v>
      </c>
      <c r="F172" s="1528" t="s">
        <v>2129</v>
      </c>
      <c r="G172" s="1528" t="s">
        <v>2129</v>
      </c>
      <c r="H172" s="1528" t="s">
        <v>2129</v>
      </c>
      <c r="I172" s="1528" t="s">
        <v>2129</v>
      </c>
      <c r="J172" s="1528" t="s">
        <v>2129</v>
      </c>
      <c r="K172" s="1528" t="s">
        <v>2129</v>
      </c>
      <c r="L172" s="1528" t="s">
        <v>2286</v>
      </c>
      <c r="M172" s="1528">
        <v>166</v>
      </c>
      <c r="N172" s="1528">
        <v>30</v>
      </c>
      <c r="O172" s="1528">
        <v>30</v>
      </c>
      <c r="P172" s="1528"/>
      <c r="Q172" s="1528"/>
      <c r="R172" s="1528"/>
      <c r="S172" s="1528" t="s">
        <v>2129</v>
      </c>
      <c r="T172" s="1528" t="s">
        <v>2129</v>
      </c>
      <c r="U172" s="1528" t="s">
        <v>2129</v>
      </c>
      <c r="V172" s="1528" t="s">
        <v>2129</v>
      </c>
      <c r="W172" s="1528" t="s">
        <v>2129</v>
      </c>
      <c r="X172" s="1528" t="s">
        <v>2129</v>
      </c>
      <c r="Y172" s="1528" t="s">
        <v>2129</v>
      </c>
      <c r="Z172" s="1528" t="s">
        <v>2129</v>
      </c>
      <c r="AA172" s="1528" t="s">
        <v>2129</v>
      </c>
      <c r="AB172" s="1528" t="s">
        <v>2129</v>
      </c>
      <c r="AC172" s="1528" t="s">
        <v>2129</v>
      </c>
      <c r="AD172" s="1528" t="s">
        <v>2129</v>
      </c>
      <c r="AE172" s="1528" t="s">
        <v>2129</v>
      </c>
      <c r="AF172" s="1528" t="s">
        <v>2129</v>
      </c>
      <c r="AG172" s="1528" t="s">
        <v>2129</v>
      </c>
    </row>
    <row r="173" spans="1:33" ht="76.5" hidden="1" thickBot="1">
      <c r="A173" s="1530"/>
      <c r="B173" s="1532"/>
      <c r="C173" s="1530"/>
      <c r="D173" s="1409" t="s">
        <v>2305</v>
      </c>
      <c r="E173" s="1529"/>
      <c r="F173" s="1529"/>
      <c r="G173" s="1529"/>
      <c r="H173" s="1529"/>
      <c r="I173" s="1529"/>
      <c r="J173" s="1529"/>
      <c r="K173" s="1529"/>
      <c r="L173" s="1529"/>
      <c r="M173" s="1529"/>
      <c r="N173" s="1529"/>
      <c r="O173" s="1529"/>
      <c r="P173" s="1529"/>
      <c r="Q173" s="1529"/>
      <c r="R173" s="1529"/>
      <c r="S173" s="1529"/>
      <c r="T173" s="1529"/>
      <c r="U173" s="1529"/>
      <c r="V173" s="1529"/>
      <c r="W173" s="1529"/>
      <c r="X173" s="1529"/>
      <c r="Y173" s="1529"/>
      <c r="Z173" s="1529"/>
      <c r="AA173" s="1529"/>
      <c r="AB173" s="1529"/>
      <c r="AC173" s="1529"/>
      <c r="AD173" s="1529"/>
      <c r="AE173" s="1529"/>
      <c r="AF173" s="1529"/>
      <c r="AG173" s="1529"/>
    </row>
    <row r="174" spans="1:33" ht="18.75" hidden="1" thickBot="1">
      <c r="A174" s="1530"/>
      <c r="B174" s="1532"/>
      <c r="C174" s="1530"/>
      <c r="D174" s="1410" t="s">
        <v>2304</v>
      </c>
      <c r="E174" s="1528" t="s">
        <v>2129</v>
      </c>
      <c r="F174" s="1528" t="s">
        <v>2129</v>
      </c>
      <c r="G174" s="1528" t="s">
        <v>2129</v>
      </c>
      <c r="H174" s="1528" t="s">
        <v>2129</v>
      </c>
      <c r="I174" s="1528" t="s">
        <v>2129</v>
      </c>
      <c r="J174" s="1528" t="s">
        <v>2129</v>
      </c>
      <c r="K174" s="1528" t="s">
        <v>2129</v>
      </c>
      <c r="L174" s="1528" t="s">
        <v>2286</v>
      </c>
      <c r="M174" s="1528">
        <v>166</v>
      </c>
      <c r="N174" s="1528">
        <v>30</v>
      </c>
      <c r="O174" s="1528">
        <v>30</v>
      </c>
      <c r="P174" s="1528"/>
      <c r="Q174" s="1528"/>
      <c r="R174" s="1528"/>
      <c r="S174" s="1528" t="s">
        <v>2129</v>
      </c>
      <c r="T174" s="1528" t="s">
        <v>2129</v>
      </c>
      <c r="U174" s="1528" t="s">
        <v>2129</v>
      </c>
      <c r="V174" s="1528" t="s">
        <v>2129</v>
      </c>
      <c r="W174" s="1528" t="s">
        <v>2129</v>
      </c>
      <c r="X174" s="1528" t="s">
        <v>2129</v>
      </c>
      <c r="Y174" s="1528" t="s">
        <v>2129</v>
      </c>
      <c r="Z174" s="1528" t="s">
        <v>2129</v>
      </c>
      <c r="AA174" s="1528" t="s">
        <v>2129</v>
      </c>
      <c r="AB174" s="1528" t="s">
        <v>2129</v>
      </c>
      <c r="AC174" s="1528" t="s">
        <v>2129</v>
      </c>
      <c r="AD174" s="1528" t="s">
        <v>2129</v>
      </c>
      <c r="AE174" s="1528" t="s">
        <v>2129</v>
      </c>
      <c r="AF174" s="1528" t="s">
        <v>2129</v>
      </c>
      <c r="AG174" s="1528" t="s">
        <v>2129</v>
      </c>
    </row>
    <row r="175" spans="1:33" ht="76.5" hidden="1" thickBot="1">
      <c r="A175" s="1530"/>
      <c r="B175" s="1532"/>
      <c r="C175" s="1530"/>
      <c r="D175" s="1409" t="s">
        <v>2306</v>
      </c>
      <c r="E175" s="1529"/>
      <c r="F175" s="1529"/>
      <c r="G175" s="1529"/>
      <c r="H175" s="1529"/>
      <c r="I175" s="1529"/>
      <c r="J175" s="1529"/>
      <c r="K175" s="1529"/>
      <c r="L175" s="1529"/>
      <c r="M175" s="1529"/>
      <c r="N175" s="1529"/>
      <c r="O175" s="1529"/>
      <c r="P175" s="1529"/>
      <c r="Q175" s="1529"/>
      <c r="R175" s="1529"/>
      <c r="S175" s="1529"/>
      <c r="T175" s="1529"/>
      <c r="U175" s="1529"/>
      <c r="V175" s="1529"/>
      <c r="W175" s="1529"/>
      <c r="X175" s="1529"/>
      <c r="Y175" s="1529"/>
      <c r="Z175" s="1529"/>
      <c r="AA175" s="1529"/>
      <c r="AB175" s="1529"/>
      <c r="AC175" s="1529"/>
      <c r="AD175" s="1529"/>
      <c r="AE175" s="1529"/>
      <c r="AF175" s="1529"/>
      <c r="AG175" s="1529"/>
    </row>
    <row r="176" spans="1:33" ht="18.75" hidden="1" thickBot="1">
      <c r="A176" s="1530"/>
      <c r="B176" s="1532"/>
      <c r="C176" s="1530"/>
      <c r="D176" s="1410" t="s">
        <v>2307</v>
      </c>
      <c r="E176" s="1528" t="s">
        <v>2129</v>
      </c>
      <c r="F176" s="1528" t="s">
        <v>2129</v>
      </c>
      <c r="G176" s="1528" t="s">
        <v>2129</v>
      </c>
      <c r="H176" s="1528" t="s">
        <v>2129</v>
      </c>
      <c r="I176" s="1528" t="s">
        <v>2129</v>
      </c>
      <c r="J176" s="1528" t="s">
        <v>2129</v>
      </c>
      <c r="K176" s="1528" t="s">
        <v>2129</v>
      </c>
      <c r="L176" s="1528" t="s">
        <v>2286</v>
      </c>
      <c r="M176" s="1528">
        <v>166</v>
      </c>
      <c r="N176" s="1528">
        <v>12</v>
      </c>
      <c r="O176" s="1528">
        <v>12</v>
      </c>
      <c r="P176" s="1528"/>
      <c r="Q176" s="1528"/>
      <c r="R176" s="1528"/>
      <c r="S176" s="1528" t="s">
        <v>2129</v>
      </c>
      <c r="T176" s="1528" t="s">
        <v>2129</v>
      </c>
      <c r="U176" s="1528" t="s">
        <v>2129</v>
      </c>
      <c r="V176" s="1528" t="s">
        <v>2129</v>
      </c>
      <c r="W176" s="1528" t="s">
        <v>2129</v>
      </c>
      <c r="X176" s="1528" t="s">
        <v>2129</v>
      </c>
      <c r="Y176" s="1528" t="s">
        <v>2129</v>
      </c>
      <c r="Z176" s="1528" t="s">
        <v>2129</v>
      </c>
      <c r="AA176" s="1528" t="s">
        <v>2129</v>
      </c>
      <c r="AB176" s="1528" t="s">
        <v>2129</v>
      </c>
      <c r="AC176" s="1528" t="s">
        <v>2129</v>
      </c>
      <c r="AD176" s="1528" t="s">
        <v>2129</v>
      </c>
      <c r="AE176" s="1528" t="s">
        <v>2129</v>
      </c>
      <c r="AF176" s="1528" t="s">
        <v>2129</v>
      </c>
      <c r="AG176" s="1528" t="s">
        <v>2129</v>
      </c>
    </row>
    <row r="177" spans="1:33" ht="68.25" hidden="1" thickBot="1">
      <c r="A177" s="1529"/>
      <c r="B177" s="1533"/>
      <c r="C177" s="1529"/>
      <c r="D177" s="1409" t="s">
        <v>2308</v>
      </c>
      <c r="E177" s="1529"/>
      <c r="F177" s="1529"/>
      <c r="G177" s="1529"/>
      <c r="H177" s="1529"/>
      <c r="I177" s="1529"/>
      <c r="J177" s="1529"/>
      <c r="K177" s="1529"/>
      <c r="L177" s="1529"/>
      <c r="M177" s="1529"/>
      <c r="N177" s="1529"/>
      <c r="O177" s="1529"/>
      <c r="P177" s="1529"/>
      <c r="Q177" s="1529"/>
      <c r="R177" s="1529"/>
      <c r="S177" s="1529"/>
      <c r="T177" s="1529"/>
      <c r="U177" s="1529"/>
      <c r="V177" s="1529"/>
      <c r="W177" s="1529"/>
      <c r="X177" s="1529"/>
      <c r="Y177" s="1529"/>
      <c r="Z177" s="1529"/>
      <c r="AA177" s="1529"/>
      <c r="AB177" s="1529"/>
      <c r="AC177" s="1529"/>
      <c r="AD177" s="1529"/>
      <c r="AE177" s="1529"/>
      <c r="AF177" s="1529"/>
      <c r="AG177" s="1529"/>
    </row>
    <row r="178" spans="1:33" ht="60" hidden="1" thickBot="1">
      <c r="A178" s="1528">
        <v>35</v>
      </c>
      <c r="B178" s="1531">
        <v>1.7224300000000002E+35</v>
      </c>
      <c r="C178" s="1528" t="s">
        <v>2309</v>
      </c>
      <c r="D178" s="1528" t="s">
        <v>2310</v>
      </c>
      <c r="E178" s="1528">
        <v>0</v>
      </c>
      <c r="F178" s="1528"/>
      <c r="G178" s="1528">
        <v>0</v>
      </c>
      <c r="H178" s="1528">
        <v>0</v>
      </c>
      <c r="I178" s="1528">
        <v>0</v>
      </c>
      <c r="J178" s="1528">
        <v>0</v>
      </c>
      <c r="K178" s="1528">
        <v>0</v>
      </c>
      <c r="L178" s="1528" t="s">
        <v>2129</v>
      </c>
      <c r="M178" s="1528" t="s">
        <v>2129</v>
      </c>
      <c r="N178" s="1528" t="s">
        <v>2129</v>
      </c>
      <c r="O178" s="1528" t="s">
        <v>2129</v>
      </c>
      <c r="P178" s="1528" t="s">
        <v>2129</v>
      </c>
      <c r="Q178" s="1528" t="s">
        <v>2129</v>
      </c>
      <c r="R178" s="1528" t="s">
        <v>2129</v>
      </c>
      <c r="S178" s="1410" t="s">
        <v>2169</v>
      </c>
      <c r="T178" s="1528"/>
      <c r="U178" s="1528"/>
      <c r="V178" s="1528">
        <v>5.2016999999999998</v>
      </c>
      <c r="W178" s="1528">
        <v>12.201700000000001</v>
      </c>
      <c r="X178" s="1528" t="s">
        <v>2281</v>
      </c>
      <c r="Y178" s="1528" t="s">
        <v>2132</v>
      </c>
      <c r="Z178" s="1528" t="s">
        <v>2282</v>
      </c>
      <c r="AA178" s="1528"/>
      <c r="AB178" s="1528"/>
      <c r="AC178" s="1528"/>
      <c r="AD178" s="1528"/>
      <c r="AE178" s="1410" t="s">
        <v>2198</v>
      </c>
      <c r="AF178" s="1528"/>
      <c r="AG178" s="1528" t="s">
        <v>2283</v>
      </c>
    </row>
    <row r="179" spans="1:33" ht="101.25" hidden="1" thickBot="1">
      <c r="A179" s="1530"/>
      <c r="B179" s="1532"/>
      <c r="C179" s="1530"/>
      <c r="D179" s="1529"/>
      <c r="E179" s="1529"/>
      <c r="F179" s="1529"/>
      <c r="G179" s="1529"/>
      <c r="H179" s="1529"/>
      <c r="I179" s="1529"/>
      <c r="J179" s="1529"/>
      <c r="K179" s="1529"/>
      <c r="L179" s="1529"/>
      <c r="M179" s="1529"/>
      <c r="N179" s="1529"/>
      <c r="O179" s="1529"/>
      <c r="P179" s="1529"/>
      <c r="Q179" s="1529"/>
      <c r="R179" s="1529"/>
      <c r="S179" s="1409" t="s">
        <v>2284</v>
      </c>
      <c r="T179" s="1529"/>
      <c r="U179" s="1529"/>
      <c r="V179" s="1529"/>
      <c r="W179" s="1529"/>
      <c r="X179" s="1529"/>
      <c r="Y179" s="1529"/>
      <c r="Z179" s="1529"/>
      <c r="AA179" s="1529"/>
      <c r="AB179" s="1529"/>
      <c r="AC179" s="1529"/>
      <c r="AD179" s="1529"/>
      <c r="AE179" s="1409" t="s">
        <v>2200</v>
      </c>
      <c r="AF179" s="1529"/>
      <c r="AG179" s="1529"/>
    </row>
    <row r="180" spans="1:33" ht="15.75" hidden="1" thickBot="1">
      <c r="A180" s="1530"/>
      <c r="B180" s="1532"/>
      <c r="C180" s="1530"/>
      <c r="D180" s="1410" t="s">
        <v>2311</v>
      </c>
      <c r="E180" s="1528" t="s">
        <v>2129</v>
      </c>
      <c r="F180" s="1528" t="s">
        <v>2129</v>
      </c>
      <c r="G180" s="1528" t="s">
        <v>2129</v>
      </c>
      <c r="H180" s="1528" t="s">
        <v>2129</v>
      </c>
      <c r="I180" s="1528" t="s">
        <v>2129</v>
      </c>
      <c r="J180" s="1528" t="s">
        <v>2129</v>
      </c>
      <c r="K180" s="1528" t="s">
        <v>2129</v>
      </c>
      <c r="L180" s="1528" t="s">
        <v>2286</v>
      </c>
      <c r="M180" s="1528">
        <v>166</v>
      </c>
      <c r="N180" s="1528">
        <v>50</v>
      </c>
      <c r="O180" s="1528">
        <v>50</v>
      </c>
      <c r="P180" s="1528"/>
      <c r="Q180" s="1528"/>
      <c r="R180" s="1528"/>
      <c r="S180" s="1528" t="s">
        <v>2129</v>
      </c>
      <c r="T180" s="1528" t="s">
        <v>2129</v>
      </c>
      <c r="U180" s="1528" t="s">
        <v>2129</v>
      </c>
      <c r="V180" s="1528" t="s">
        <v>2129</v>
      </c>
      <c r="W180" s="1528" t="s">
        <v>2129</v>
      </c>
      <c r="X180" s="1528" t="s">
        <v>2129</v>
      </c>
      <c r="Y180" s="1528" t="s">
        <v>2129</v>
      </c>
      <c r="Z180" s="1528" t="s">
        <v>2129</v>
      </c>
      <c r="AA180" s="1528" t="s">
        <v>2129</v>
      </c>
      <c r="AB180" s="1528" t="s">
        <v>2129</v>
      </c>
      <c r="AC180" s="1528" t="s">
        <v>2129</v>
      </c>
      <c r="AD180" s="1528" t="s">
        <v>2129</v>
      </c>
      <c r="AE180" s="1528" t="s">
        <v>2129</v>
      </c>
      <c r="AF180" s="1528" t="s">
        <v>2129</v>
      </c>
      <c r="AG180" s="1528" t="s">
        <v>2129</v>
      </c>
    </row>
    <row r="181" spans="1:33" ht="68.25" hidden="1" thickBot="1">
      <c r="A181" s="1530"/>
      <c r="B181" s="1532"/>
      <c r="C181" s="1530"/>
      <c r="D181" s="1409" t="s">
        <v>2312</v>
      </c>
      <c r="E181" s="1529"/>
      <c r="F181" s="1529"/>
      <c r="G181" s="1529"/>
      <c r="H181" s="1529"/>
      <c r="I181" s="1529"/>
      <c r="J181" s="1529"/>
      <c r="K181" s="1529"/>
      <c r="L181" s="1529"/>
      <c r="M181" s="1529"/>
      <c r="N181" s="1529"/>
      <c r="O181" s="1529"/>
      <c r="P181" s="1529"/>
      <c r="Q181" s="1529"/>
      <c r="R181" s="1529"/>
      <c r="S181" s="1529"/>
      <c r="T181" s="1529"/>
      <c r="U181" s="1529"/>
      <c r="V181" s="1529"/>
      <c r="W181" s="1529"/>
      <c r="X181" s="1529"/>
      <c r="Y181" s="1529"/>
      <c r="Z181" s="1529"/>
      <c r="AA181" s="1529"/>
      <c r="AB181" s="1529"/>
      <c r="AC181" s="1529"/>
      <c r="AD181" s="1529"/>
      <c r="AE181" s="1529"/>
      <c r="AF181" s="1529"/>
      <c r="AG181" s="1529"/>
    </row>
    <row r="182" spans="1:33" ht="18.75" hidden="1" thickBot="1">
      <c r="A182" s="1530"/>
      <c r="B182" s="1532"/>
      <c r="C182" s="1530"/>
      <c r="D182" s="1410" t="s">
        <v>2313</v>
      </c>
      <c r="E182" s="1528" t="s">
        <v>2129</v>
      </c>
      <c r="F182" s="1528" t="s">
        <v>2129</v>
      </c>
      <c r="G182" s="1528" t="s">
        <v>2129</v>
      </c>
      <c r="H182" s="1528" t="s">
        <v>2129</v>
      </c>
      <c r="I182" s="1528" t="s">
        <v>2129</v>
      </c>
      <c r="J182" s="1528" t="s">
        <v>2129</v>
      </c>
      <c r="K182" s="1528" t="s">
        <v>2129</v>
      </c>
      <c r="L182" s="1528" t="s">
        <v>2286</v>
      </c>
      <c r="M182" s="1528">
        <v>166</v>
      </c>
      <c r="N182" s="1528">
        <v>50</v>
      </c>
      <c r="O182" s="1528">
        <v>50</v>
      </c>
      <c r="P182" s="1528"/>
      <c r="Q182" s="1528"/>
      <c r="R182" s="1528"/>
      <c r="S182" s="1528" t="s">
        <v>2129</v>
      </c>
      <c r="T182" s="1528" t="s">
        <v>2129</v>
      </c>
      <c r="U182" s="1528" t="s">
        <v>2129</v>
      </c>
      <c r="V182" s="1528" t="s">
        <v>2129</v>
      </c>
      <c r="W182" s="1528" t="s">
        <v>2129</v>
      </c>
      <c r="X182" s="1528" t="s">
        <v>2129</v>
      </c>
      <c r="Y182" s="1528" t="s">
        <v>2129</v>
      </c>
      <c r="Z182" s="1528" t="s">
        <v>2129</v>
      </c>
      <c r="AA182" s="1528" t="s">
        <v>2129</v>
      </c>
      <c r="AB182" s="1528" t="s">
        <v>2129</v>
      </c>
      <c r="AC182" s="1528" t="s">
        <v>2129</v>
      </c>
      <c r="AD182" s="1528" t="s">
        <v>2129</v>
      </c>
      <c r="AE182" s="1528" t="s">
        <v>2129</v>
      </c>
      <c r="AF182" s="1528" t="s">
        <v>2129</v>
      </c>
      <c r="AG182" s="1528" t="s">
        <v>2129</v>
      </c>
    </row>
    <row r="183" spans="1:33" ht="68.25" hidden="1" thickBot="1">
      <c r="A183" s="1530"/>
      <c r="B183" s="1532"/>
      <c r="C183" s="1530"/>
      <c r="D183" s="1409" t="s">
        <v>2314</v>
      </c>
      <c r="E183" s="1529"/>
      <c r="F183" s="1529"/>
      <c r="G183" s="1529"/>
      <c r="H183" s="1529"/>
      <c r="I183" s="1529"/>
      <c r="J183" s="1529"/>
      <c r="K183" s="1529"/>
      <c r="L183" s="1529"/>
      <c r="M183" s="1529"/>
      <c r="N183" s="1529"/>
      <c r="O183" s="1529"/>
      <c r="P183" s="1529"/>
      <c r="Q183" s="1529"/>
      <c r="R183" s="1529"/>
      <c r="S183" s="1529"/>
      <c r="T183" s="1529"/>
      <c r="U183" s="1529"/>
      <c r="V183" s="1529"/>
      <c r="W183" s="1529"/>
      <c r="X183" s="1529"/>
      <c r="Y183" s="1529"/>
      <c r="Z183" s="1529"/>
      <c r="AA183" s="1529"/>
      <c r="AB183" s="1529"/>
      <c r="AC183" s="1529"/>
      <c r="AD183" s="1529"/>
      <c r="AE183" s="1529"/>
      <c r="AF183" s="1529"/>
      <c r="AG183" s="1529"/>
    </row>
    <row r="184" spans="1:33" ht="15.75" hidden="1" thickBot="1">
      <c r="A184" s="1530"/>
      <c r="B184" s="1532"/>
      <c r="C184" s="1530"/>
      <c r="D184" s="1410" t="s">
        <v>2315</v>
      </c>
      <c r="E184" s="1528" t="s">
        <v>2129</v>
      </c>
      <c r="F184" s="1528" t="s">
        <v>2129</v>
      </c>
      <c r="G184" s="1528" t="s">
        <v>2129</v>
      </c>
      <c r="H184" s="1528" t="s">
        <v>2129</v>
      </c>
      <c r="I184" s="1528" t="s">
        <v>2129</v>
      </c>
      <c r="J184" s="1528" t="s">
        <v>2129</v>
      </c>
      <c r="K184" s="1528" t="s">
        <v>2129</v>
      </c>
      <c r="L184" s="1528" t="s">
        <v>2286</v>
      </c>
      <c r="M184" s="1528">
        <v>166</v>
      </c>
      <c r="N184" s="1528">
        <v>40</v>
      </c>
      <c r="O184" s="1528">
        <v>40</v>
      </c>
      <c r="P184" s="1528"/>
      <c r="Q184" s="1528"/>
      <c r="R184" s="1528"/>
      <c r="S184" s="1528" t="s">
        <v>2129</v>
      </c>
      <c r="T184" s="1528" t="s">
        <v>2129</v>
      </c>
      <c r="U184" s="1528" t="s">
        <v>2129</v>
      </c>
      <c r="V184" s="1528" t="s">
        <v>2129</v>
      </c>
      <c r="W184" s="1528" t="s">
        <v>2129</v>
      </c>
      <c r="X184" s="1528" t="s">
        <v>2129</v>
      </c>
      <c r="Y184" s="1528" t="s">
        <v>2129</v>
      </c>
      <c r="Z184" s="1528" t="s">
        <v>2129</v>
      </c>
      <c r="AA184" s="1528" t="s">
        <v>2129</v>
      </c>
      <c r="AB184" s="1528" t="s">
        <v>2129</v>
      </c>
      <c r="AC184" s="1528" t="s">
        <v>2129</v>
      </c>
      <c r="AD184" s="1528" t="s">
        <v>2129</v>
      </c>
      <c r="AE184" s="1528" t="s">
        <v>2129</v>
      </c>
      <c r="AF184" s="1528" t="s">
        <v>2129</v>
      </c>
      <c r="AG184" s="1528" t="s">
        <v>2129</v>
      </c>
    </row>
    <row r="185" spans="1:33" ht="68.25" hidden="1" thickBot="1">
      <c r="A185" s="1530"/>
      <c r="B185" s="1532"/>
      <c r="C185" s="1530"/>
      <c r="D185" s="1409" t="s">
        <v>2316</v>
      </c>
      <c r="E185" s="1529"/>
      <c r="F185" s="1529"/>
      <c r="G185" s="1529"/>
      <c r="H185" s="1529"/>
      <c r="I185" s="1529"/>
      <c r="J185" s="1529"/>
      <c r="K185" s="1529"/>
      <c r="L185" s="1529"/>
      <c r="M185" s="1529"/>
      <c r="N185" s="1529"/>
      <c r="O185" s="1529"/>
      <c r="P185" s="1529"/>
      <c r="Q185" s="1529"/>
      <c r="R185" s="1529"/>
      <c r="S185" s="1529"/>
      <c r="T185" s="1529"/>
      <c r="U185" s="1529"/>
      <c r="V185" s="1529"/>
      <c r="W185" s="1529"/>
      <c r="X185" s="1529"/>
      <c r="Y185" s="1529"/>
      <c r="Z185" s="1529"/>
      <c r="AA185" s="1529"/>
      <c r="AB185" s="1529"/>
      <c r="AC185" s="1529"/>
      <c r="AD185" s="1529"/>
      <c r="AE185" s="1529"/>
      <c r="AF185" s="1529"/>
      <c r="AG185" s="1529"/>
    </row>
    <row r="186" spans="1:33" ht="15.75" hidden="1" thickBot="1">
      <c r="A186" s="1530"/>
      <c r="B186" s="1532"/>
      <c r="C186" s="1530"/>
      <c r="D186" s="1410" t="s">
        <v>2315</v>
      </c>
      <c r="E186" s="1528" t="s">
        <v>2129</v>
      </c>
      <c r="F186" s="1528" t="s">
        <v>2129</v>
      </c>
      <c r="G186" s="1528" t="s">
        <v>2129</v>
      </c>
      <c r="H186" s="1528" t="s">
        <v>2129</v>
      </c>
      <c r="I186" s="1528" t="s">
        <v>2129</v>
      </c>
      <c r="J186" s="1528" t="s">
        <v>2129</v>
      </c>
      <c r="K186" s="1528" t="s">
        <v>2129</v>
      </c>
      <c r="L186" s="1528" t="s">
        <v>2286</v>
      </c>
      <c r="M186" s="1528">
        <v>166</v>
      </c>
      <c r="N186" s="1528">
        <v>10</v>
      </c>
      <c r="O186" s="1528">
        <v>10</v>
      </c>
      <c r="P186" s="1528"/>
      <c r="Q186" s="1528"/>
      <c r="R186" s="1528"/>
      <c r="S186" s="1528" t="s">
        <v>2129</v>
      </c>
      <c r="T186" s="1528" t="s">
        <v>2129</v>
      </c>
      <c r="U186" s="1528" t="s">
        <v>2129</v>
      </c>
      <c r="V186" s="1528" t="s">
        <v>2129</v>
      </c>
      <c r="W186" s="1528" t="s">
        <v>2129</v>
      </c>
      <c r="X186" s="1528" t="s">
        <v>2129</v>
      </c>
      <c r="Y186" s="1528" t="s">
        <v>2129</v>
      </c>
      <c r="Z186" s="1528" t="s">
        <v>2129</v>
      </c>
      <c r="AA186" s="1528" t="s">
        <v>2129</v>
      </c>
      <c r="AB186" s="1528" t="s">
        <v>2129</v>
      </c>
      <c r="AC186" s="1528" t="s">
        <v>2129</v>
      </c>
      <c r="AD186" s="1528" t="s">
        <v>2129</v>
      </c>
      <c r="AE186" s="1528" t="s">
        <v>2129</v>
      </c>
      <c r="AF186" s="1528" t="s">
        <v>2129</v>
      </c>
      <c r="AG186" s="1528" t="s">
        <v>2129</v>
      </c>
    </row>
    <row r="187" spans="1:33" ht="84.75" hidden="1" thickBot="1">
      <c r="A187" s="1530"/>
      <c r="B187" s="1532"/>
      <c r="C187" s="1530"/>
      <c r="D187" s="1409" t="s">
        <v>2317</v>
      </c>
      <c r="E187" s="1529"/>
      <c r="F187" s="1529"/>
      <c r="G187" s="1529"/>
      <c r="H187" s="1529"/>
      <c r="I187" s="1529"/>
      <c r="J187" s="1529"/>
      <c r="K187" s="1529"/>
      <c r="L187" s="1529"/>
      <c r="M187" s="1529"/>
      <c r="N187" s="1529"/>
      <c r="O187" s="1529"/>
      <c r="P187" s="1529"/>
      <c r="Q187" s="1529"/>
      <c r="R187" s="1529"/>
      <c r="S187" s="1529"/>
      <c r="T187" s="1529"/>
      <c r="U187" s="1529"/>
      <c r="V187" s="1529"/>
      <c r="W187" s="1529"/>
      <c r="X187" s="1529"/>
      <c r="Y187" s="1529"/>
      <c r="Z187" s="1529"/>
      <c r="AA187" s="1529"/>
      <c r="AB187" s="1529"/>
      <c r="AC187" s="1529"/>
      <c r="AD187" s="1529"/>
      <c r="AE187" s="1529"/>
      <c r="AF187" s="1529"/>
      <c r="AG187" s="1529"/>
    </row>
    <row r="188" spans="1:33" ht="15.75" hidden="1" thickBot="1">
      <c r="A188" s="1530"/>
      <c r="B188" s="1532"/>
      <c r="C188" s="1530"/>
      <c r="D188" s="1410" t="s">
        <v>2318</v>
      </c>
      <c r="E188" s="1528" t="s">
        <v>2129</v>
      </c>
      <c r="F188" s="1528" t="s">
        <v>2129</v>
      </c>
      <c r="G188" s="1528" t="s">
        <v>2129</v>
      </c>
      <c r="H188" s="1528" t="s">
        <v>2129</v>
      </c>
      <c r="I188" s="1528" t="s">
        <v>2129</v>
      </c>
      <c r="J188" s="1528" t="s">
        <v>2129</v>
      </c>
      <c r="K188" s="1528" t="s">
        <v>2129</v>
      </c>
      <c r="L188" s="1528" t="s">
        <v>2286</v>
      </c>
      <c r="M188" s="1528">
        <v>166</v>
      </c>
      <c r="N188" s="1528">
        <v>50</v>
      </c>
      <c r="O188" s="1528">
        <v>50</v>
      </c>
      <c r="P188" s="1528"/>
      <c r="Q188" s="1528"/>
      <c r="R188" s="1528"/>
      <c r="S188" s="1528" t="s">
        <v>2129</v>
      </c>
      <c r="T188" s="1528" t="s">
        <v>2129</v>
      </c>
      <c r="U188" s="1528" t="s">
        <v>2129</v>
      </c>
      <c r="V188" s="1528" t="s">
        <v>2129</v>
      </c>
      <c r="W188" s="1528" t="s">
        <v>2129</v>
      </c>
      <c r="X188" s="1528" t="s">
        <v>2129</v>
      </c>
      <c r="Y188" s="1528" t="s">
        <v>2129</v>
      </c>
      <c r="Z188" s="1528" t="s">
        <v>2129</v>
      </c>
      <c r="AA188" s="1528" t="s">
        <v>2129</v>
      </c>
      <c r="AB188" s="1528" t="s">
        <v>2129</v>
      </c>
      <c r="AC188" s="1528" t="s">
        <v>2129</v>
      </c>
      <c r="AD188" s="1528" t="s">
        <v>2129</v>
      </c>
      <c r="AE188" s="1528" t="s">
        <v>2129</v>
      </c>
      <c r="AF188" s="1528" t="s">
        <v>2129</v>
      </c>
      <c r="AG188" s="1528" t="s">
        <v>2129</v>
      </c>
    </row>
    <row r="189" spans="1:33" ht="68.25" hidden="1" thickBot="1">
      <c r="A189" s="1530"/>
      <c r="B189" s="1532"/>
      <c r="C189" s="1530"/>
      <c r="D189" s="1409" t="s">
        <v>2312</v>
      </c>
      <c r="E189" s="1529"/>
      <c r="F189" s="1529"/>
      <c r="G189" s="1529"/>
      <c r="H189" s="1529"/>
      <c r="I189" s="1529"/>
      <c r="J189" s="1529"/>
      <c r="K189" s="1529"/>
      <c r="L189" s="1529"/>
      <c r="M189" s="1529"/>
      <c r="N189" s="1529"/>
      <c r="O189" s="1529"/>
      <c r="P189" s="1529"/>
      <c r="Q189" s="1529"/>
      <c r="R189" s="1529"/>
      <c r="S189" s="1529"/>
      <c r="T189" s="1529"/>
      <c r="U189" s="1529"/>
      <c r="V189" s="1529"/>
      <c r="W189" s="1529"/>
      <c r="X189" s="1529"/>
      <c r="Y189" s="1529"/>
      <c r="Z189" s="1529"/>
      <c r="AA189" s="1529"/>
      <c r="AB189" s="1529"/>
      <c r="AC189" s="1529"/>
      <c r="AD189" s="1529"/>
      <c r="AE189" s="1529"/>
      <c r="AF189" s="1529"/>
      <c r="AG189" s="1529"/>
    </row>
    <row r="190" spans="1:33" ht="15.75" hidden="1" thickBot="1">
      <c r="A190" s="1530"/>
      <c r="B190" s="1532"/>
      <c r="C190" s="1530"/>
      <c r="D190" s="1410" t="s">
        <v>2319</v>
      </c>
      <c r="E190" s="1528" t="s">
        <v>2129</v>
      </c>
      <c r="F190" s="1528" t="s">
        <v>2129</v>
      </c>
      <c r="G190" s="1528" t="s">
        <v>2129</v>
      </c>
      <c r="H190" s="1528" t="s">
        <v>2129</v>
      </c>
      <c r="I190" s="1528" t="s">
        <v>2129</v>
      </c>
      <c r="J190" s="1528" t="s">
        <v>2129</v>
      </c>
      <c r="K190" s="1528" t="s">
        <v>2129</v>
      </c>
      <c r="L190" s="1528" t="s">
        <v>2286</v>
      </c>
      <c r="M190" s="1528">
        <v>166</v>
      </c>
      <c r="N190" s="1528">
        <v>50</v>
      </c>
      <c r="O190" s="1528">
        <v>50</v>
      </c>
      <c r="P190" s="1528"/>
      <c r="Q190" s="1528"/>
      <c r="R190" s="1528"/>
      <c r="S190" s="1528" t="s">
        <v>2129</v>
      </c>
      <c r="T190" s="1528" t="s">
        <v>2129</v>
      </c>
      <c r="U190" s="1528" t="s">
        <v>2129</v>
      </c>
      <c r="V190" s="1528" t="s">
        <v>2129</v>
      </c>
      <c r="W190" s="1528" t="s">
        <v>2129</v>
      </c>
      <c r="X190" s="1528" t="s">
        <v>2129</v>
      </c>
      <c r="Y190" s="1528" t="s">
        <v>2129</v>
      </c>
      <c r="Z190" s="1528" t="s">
        <v>2129</v>
      </c>
      <c r="AA190" s="1528" t="s">
        <v>2129</v>
      </c>
      <c r="AB190" s="1528" t="s">
        <v>2129</v>
      </c>
      <c r="AC190" s="1528" t="s">
        <v>2129</v>
      </c>
      <c r="AD190" s="1528" t="s">
        <v>2129</v>
      </c>
      <c r="AE190" s="1528" t="s">
        <v>2129</v>
      </c>
      <c r="AF190" s="1528" t="s">
        <v>2129</v>
      </c>
      <c r="AG190" s="1528" t="s">
        <v>2129</v>
      </c>
    </row>
    <row r="191" spans="1:33" ht="68.25" hidden="1" thickBot="1">
      <c r="A191" s="1530"/>
      <c r="B191" s="1532"/>
      <c r="C191" s="1530"/>
      <c r="D191" s="1409" t="s">
        <v>2312</v>
      </c>
      <c r="E191" s="1529"/>
      <c r="F191" s="1529"/>
      <c r="G191" s="1529"/>
      <c r="H191" s="1529"/>
      <c r="I191" s="1529"/>
      <c r="J191" s="1529"/>
      <c r="K191" s="1529"/>
      <c r="L191" s="1529"/>
      <c r="M191" s="1529"/>
      <c r="N191" s="1529"/>
      <c r="O191" s="1529"/>
      <c r="P191" s="1529"/>
      <c r="Q191" s="1529"/>
      <c r="R191" s="1529"/>
      <c r="S191" s="1529"/>
      <c r="T191" s="1529"/>
      <c r="U191" s="1529"/>
      <c r="V191" s="1529"/>
      <c r="W191" s="1529"/>
      <c r="X191" s="1529"/>
      <c r="Y191" s="1529"/>
      <c r="Z191" s="1529"/>
      <c r="AA191" s="1529"/>
      <c r="AB191" s="1529"/>
      <c r="AC191" s="1529"/>
      <c r="AD191" s="1529"/>
      <c r="AE191" s="1529"/>
      <c r="AF191" s="1529"/>
      <c r="AG191" s="1529"/>
    </row>
    <row r="192" spans="1:33" ht="15.75" hidden="1" thickBot="1">
      <c r="A192" s="1530"/>
      <c r="B192" s="1532"/>
      <c r="C192" s="1530"/>
      <c r="D192" s="1410" t="s">
        <v>2320</v>
      </c>
      <c r="E192" s="1528" t="s">
        <v>2129</v>
      </c>
      <c r="F192" s="1528" t="s">
        <v>2129</v>
      </c>
      <c r="G192" s="1528" t="s">
        <v>2129</v>
      </c>
      <c r="H192" s="1528" t="s">
        <v>2129</v>
      </c>
      <c r="I192" s="1528" t="s">
        <v>2129</v>
      </c>
      <c r="J192" s="1528" t="s">
        <v>2129</v>
      </c>
      <c r="K192" s="1528" t="s">
        <v>2129</v>
      </c>
      <c r="L192" s="1528" t="s">
        <v>2286</v>
      </c>
      <c r="M192" s="1528">
        <v>166</v>
      </c>
      <c r="N192" s="1528">
        <v>50</v>
      </c>
      <c r="O192" s="1528">
        <v>50</v>
      </c>
      <c r="P192" s="1528"/>
      <c r="Q192" s="1528"/>
      <c r="R192" s="1528"/>
      <c r="S192" s="1528" t="s">
        <v>2129</v>
      </c>
      <c r="T192" s="1528" t="s">
        <v>2129</v>
      </c>
      <c r="U192" s="1528" t="s">
        <v>2129</v>
      </c>
      <c r="V192" s="1528" t="s">
        <v>2129</v>
      </c>
      <c r="W192" s="1528" t="s">
        <v>2129</v>
      </c>
      <c r="X192" s="1528" t="s">
        <v>2129</v>
      </c>
      <c r="Y192" s="1528" t="s">
        <v>2129</v>
      </c>
      <c r="Z192" s="1528" t="s">
        <v>2129</v>
      </c>
      <c r="AA192" s="1528" t="s">
        <v>2129</v>
      </c>
      <c r="AB192" s="1528" t="s">
        <v>2129</v>
      </c>
      <c r="AC192" s="1528" t="s">
        <v>2129</v>
      </c>
      <c r="AD192" s="1528" t="s">
        <v>2129</v>
      </c>
      <c r="AE192" s="1528" t="s">
        <v>2129</v>
      </c>
      <c r="AF192" s="1528" t="s">
        <v>2129</v>
      </c>
      <c r="AG192" s="1528" t="s">
        <v>2129</v>
      </c>
    </row>
    <row r="193" spans="1:33" ht="68.25" hidden="1" thickBot="1">
      <c r="A193" s="1530"/>
      <c r="B193" s="1532"/>
      <c r="C193" s="1530"/>
      <c r="D193" s="1409" t="s">
        <v>2312</v>
      </c>
      <c r="E193" s="1529"/>
      <c r="F193" s="1529"/>
      <c r="G193" s="1529"/>
      <c r="H193" s="1529"/>
      <c r="I193" s="1529"/>
      <c r="J193" s="1529"/>
      <c r="K193" s="1529"/>
      <c r="L193" s="1529"/>
      <c r="M193" s="1529"/>
      <c r="N193" s="1529"/>
      <c r="O193" s="1529"/>
      <c r="P193" s="1529"/>
      <c r="Q193" s="1529"/>
      <c r="R193" s="1529"/>
      <c r="S193" s="1529"/>
      <c r="T193" s="1529"/>
      <c r="U193" s="1529"/>
      <c r="V193" s="1529"/>
      <c r="W193" s="1529"/>
      <c r="X193" s="1529"/>
      <c r="Y193" s="1529"/>
      <c r="Z193" s="1529"/>
      <c r="AA193" s="1529"/>
      <c r="AB193" s="1529"/>
      <c r="AC193" s="1529"/>
      <c r="AD193" s="1529"/>
      <c r="AE193" s="1529"/>
      <c r="AF193" s="1529"/>
      <c r="AG193" s="1529"/>
    </row>
    <row r="194" spans="1:33" ht="15.75" hidden="1" thickBot="1">
      <c r="A194" s="1530"/>
      <c r="B194" s="1532"/>
      <c r="C194" s="1530"/>
      <c r="D194" s="1410" t="s">
        <v>2321</v>
      </c>
      <c r="E194" s="1528" t="s">
        <v>2129</v>
      </c>
      <c r="F194" s="1528" t="s">
        <v>2129</v>
      </c>
      <c r="G194" s="1528" t="s">
        <v>2129</v>
      </c>
      <c r="H194" s="1528" t="s">
        <v>2129</v>
      </c>
      <c r="I194" s="1528" t="s">
        <v>2129</v>
      </c>
      <c r="J194" s="1528" t="s">
        <v>2129</v>
      </c>
      <c r="K194" s="1528" t="s">
        <v>2129</v>
      </c>
      <c r="L194" s="1528" t="s">
        <v>2286</v>
      </c>
      <c r="M194" s="1528">
        <v>166</v>
      </c>
      <c r="N194" s="1528">
        <v>50</v>
      </c>
      <c r="O194" s="1528">
        <v>50</v>
      </c>
      <c r="P194" s="1528"/>
      <c r="Q194" s="1528"/>
      <c r="R194" s="1528"/>
      <c r="S194" s="1528" t="s">
        <v>2129</v>
      </c>
      <c r="T194" s="1528" t="s">
        <v>2129</v>
      </c>
      <c r="U194" s="1528" t="s">
        <v>2129</v>
      </c>
      <c r="V194" s="1528" t="s">
        <v>2129</v>
      </c>
      <c r="W194" s="1528" t="s">
        <v>2129</v>
      </c>
      <c r="X194" s="1528" t="s">
        <v>2129</v>
      </c>
      <c r="Y194" s="1528" t="s">
        <v>2129</v>
      </c>
      <c r="Z194" s="1528" t="s">
        <v>2129</v>
      </c>
      <c r="AA194" s="1528" t="s">
        <v>2129</v>
      </c>
      <c r="AB194" s="1528" t="s">
        <v>2129</v>
      </c>
      <c r="AC194" s="1528" t="s">
        <v>2129</v>
      </c>
      <c r="AD194" s="1528" t="s">
        <v>2129</v>
      </c>
      <c r="AE194" s="1528" t="s">
        <v>2129</v>
      </c>
      <c r="AF194" s="1528" t="s">
        <v>2129</v>
      </c>
      <c r="AG194" s="1528" t="s">
        <v>2129</v>
      </c>
    </row>
    <row r="195" spans="1:33" ht="68.25" hidden="1" thickBot="1">
      <c r="A195" s="1529"/>
      <c r="B195" s="1533"/>
      <c r="C195" s="1529"/>
      <c r="D195" s="1409" t="s">
        <v>2322</v>
      </c>
      <c r="E195" s="1529"/>
      <c r="F195" s="1529"/>
      <c r="G195" s="1529"/>
      <c r="H195" s="1529"/>
      <c r="I195" s="1529"/>
      <c r="J195" s="1529"/>
      <c r="K195" s="1529"/>
      <c r="L195" s="1529"/>
      <c r="M195" s="1529"/>
      <c r="N195" s="1529"/>
      <c r="O195" s="1529"/>
      <c r="P195" s="1529"/>
      <c r="Q195" s="1529"/>
      <c r="R195" s="1529"/>
      <c r="S195" s="1529"/>
      <c r="T195" s="1529"/>
      <c r="U195" s="1529"/>
      <c r="V195" s="1529"/>
      <c r="W195" s="1529"/>
      <c r="X195" s="1529"/>
      <c r="Y195" s="1529"/>
      <c r="Z195" s="1529"/>
      <c r="AA195" s="1529"/>
      <c r="AB195" s="1529"/>
      <c r="AC195" s="1529"/>
      <c r="AD195" s="1529"/>
      <c r="AE195" s="1529"/>
      <c r="AF195" s="1529"/>
      <c r="AG195" s="1529"/>
    </row>
    <row r="196" spans="1:33" ht="109.5" hidden="1" thickBot="1">
      <c r="A196" s="1528">
        <v>36</v>
      </c>
      <c r="B196" s="1531">
        <v>1.7224300000000002E+35</v>
      </c>
      <c r="C196" s="1528" t="s">
        <v>2323</v>
      </c>
      <c r="D196" s="1528" t="s">
        <v>2324</v>
      </c>
      <c r="E196" s="1528">
        <v>0</v>
      </c>
      <c r="F196" s="1528"/>
      <c r="G196" s="1528">
        <v>0</v>
      </c>
      <c r="H196" s="1528">
        <v>0</v>
      </c>
      <c r="I196" s="1528">
        <v>0</v>
      </c>
      <c r="J196" s="1528">
        <v>0</v>
      </c>
      <c r="K196" s="1528">
        <v>0</v>
      </c>
      <c r="L196" s="1528" t="s">
        <v>2129</v>
      </c>
      <c r="M196" s="1528" t="s">
        <v>2129</v>
      </c>
      <c r="N196" s="1528" t="s">
        <v>2129</v>
      </c>
      <c r="O196" s="1528" t="s">
        <v>2129</v>
      </c>
      <c r="P196" s="1528" t="s">
        <v>2129</v>
      </c>
      <c r="Q196" s="1528" t="s">
        <v>2129</v>
      </c>
      <c r="R196" s="1528" t="s">
        <v>2129</v>
      </c>
      <c r="S196" s="1410" t="s">
        <v>2169</v>
      </c>
      <c r="T196" s="1528"/>
      <c r="U196" s="1528"/>
      <c r="V196" s="1528">
        <v>5.2016999999999998</v>
      </c>
      <c r="W196" s="1528">
        <v>12.201700000000001</v>
      </c>
      <c r="X196" s="1528" t="s">
        <v>2281</v>
      </c>
      <c r="Y196" s="1528" t="s">
        <v>2132</v>
      </c>
      <c r="Z196" s="1528" t="s">
        <v>2282</v>
      </c>
      <c r="AA196" s="1410" t="s">
        <v>2301</v>
      </c>
      <c r="AB196" s="1528"/>
      <c r="AC196" s="1528"/>
      <c r="AD196" s="1528"/>
      <c r="AE196" s="1410" t="s">
        <v>2198</v>
      </c>
      <c r="AF196" s="1528"/>
      <c r="AG196" s="1528" t="s">
        <v>2283</v>
      </c>
    </row>
    <row r="197" spans="1:33" ht="84.75" hidden="1" thickBot="1">
      <c r="A197" s="1530"/>
      <c r="B197" s="1532"/>
      <c r="C197" s="1530"/>
      <c r="D197" s="1530"/>
      <c r="E197" s="1530"/>
      <c r="F197" s="1530"/>
      <c r="G197" s="1530"/>
      <c r="H197" s="1530"/>
      <c r="I197" s="1530"/>
      <c r="J197" s="1530"/>
      <c r="K197" s="1530"/>
      <c r="L197" s="1530"/>
      <c r="M197" s="1530"/>
      <c r="N197" s="1530"/>
      <c r="O197" s="1530"/>
      <c r="P197" s="1530"/>
      <c r="Q197" s="1530"/>
      <c r="R197" s="1530"/>
      <c r="S197" s="1410" t="s">
        <v>2325</v>
      </c>
      <c r="T197" s="1530"/>
      <c r="U197" s="1530"/>
      <c r="V197" s="1530"/>
      <c r="W197" s="1530"/>
      <c r="X197" s="1530"/>
      <c r="Y197" s="1530"/>
      <c r="Z197" s="1530"/>
      <c r="AA197" s="1410" t="s">
        <v>2326</v>
      </c>
      <c r="AB197" s="1530"/>
      <c r="AC197" s="1530"/>
      <c r="AD197" s="1530"/>
      <c r="AE197" s="1410" t="s">
        <v>2200</v>
      </c>
      <c r="AF197" s="1530"/>
      <c r="AG197" s="1530"/>
    </row>
    <row r="198" spans="1:33" ht="15.75" hidden="1" thickBot="1">
      <c r="A198" s="1530"/>
      <c r="B198" s="1532"/>
      <c r="C198" s="1530"/>
      <c r="D198" s="1529"/>
      <c r="E198" s="1529"/>
      <c r="F198" s="1529"/>
      <c r="G198" s="1529"/>
      <c r="H198" s="1529"/>
      <c r="I198" s="1529"/>
      <c r="J198" s="1529"/>
      <c r="K198" s="1529"/>
      <c r="L198" s="1529"/>
      <c r="M198" s="1529"/>
      <c r="N198" s="1529"/>
      <c r="O198" s="1529"/>
      <c r="P198" s="1529"/>
      <c r="Q198" s="1529"/>
      <c r="R198" s="1529"/>
      <c r="S198" s="1409"/>
      <c r="T198" s="1529"/>
      <c r="U198" s="1529"/>
      <c r="V198" s="1529"/>
      <c r="W198" s="1529"/>
      <c r="X198" s="1529"/>
      <c r="Y198" s="1529"/>
      <c r="Z198" s="1529"/>
      <c r="AA198" s="1409"/>
      <c r="AB198" s="1529"/>
      <c r="AC198" s="1529"/>
      <c r="AD198" s="1529"/>
      <c r="AE198" s="1409"/>
      <c r="AF198" s="1529"/>
      <c r="AG198" s="1529"/>
    </row>
    <row r="199" spans="1:33" ht="15.75" hidden="1" thickBot="1">
      <c r="A199" s="1530"/>
      <c r="B199" s="1532"/>
      <c r="C199" s="1530"/>
      <c r="D199" s="1410" t="s">
        <v>2323</v>
      </c>
      <c r="E199" s="1528" t="s">
        <v>2129</v>
      </c>
      <c r="F199" s="1528" t="s">
        <v>2129</v>
      </c>
      <c r="G199" s="1528" t="s">
        <v>2129</v>
      </c>
      <c r="H199" s="1528" t="s">
        <v>2129</v>
      </c>
      <c r="I199" s="1528" t="s">
        <v>2129</v>
      </c>
      <c r="J199" s="1528" t="s">
        <v>2129</v>
      </c>
      <c r="K199" s="1528" t="s">
        <v>2129</v>
      </c>
      <c r="L199" s="1528" t="s">
        <v>2286</v>
      </c>
      <c r="M199" s="1528">
        <v>166</v>
      </c>
      <c r="N199" s="1528">
        <v>270</v>
      </c>
      <c r="O199" s="1528">
        <v>270</v>
      </c>
      <c r="P199" s="1528"/>
      <c r="Q199" s="1528"/>
      <c r="R199" s="1528"/>
      <c r="S199" s="1528" t="s">
        <v>2129</v>
      </c>
      <c r="T199" s="1528" t="s">
        <v>2129</v>
      </c>
      <c r="U199" s="1528" t="s">
        <v>2129</v>
      </c>
      <c r="V199" s="1528" t="s">
        <v>2129</v>
      </c>
      <c r="W199" s="1528" t="s">
        <v>2129</v>
      </c>
      <c r="X199" s="1528" t="s">
        <v>2129</v>
      </c>
      <c r="Y199" s="1528" t="s">
        <v>2129</v>
      </c>
      <c r="Z199" s="1528" t="s">
        <v>2129</v>
      </c>
      <c r="AA199" s="1528" t="s">
        <v>2129</v>
      </c>
      <c r="AB199" s="1528" t="s">
        <v>2129</v>
      </c>
      <c r="AC199" s="1528" t="s">
        <v>2129</v>
      </c>
      <c r="AD199" s="1528" t="s">
        <v>2129</v>
      </c>
      <c r="AE199" s="1528" t="s">
        <v>2129</v>
      </c>
      <c r="AF199" s="1528" t="s">
        <v>2129</v>
      </c>
      <c r="AG199" s="1528" t="s">
        <v>2129</v>
      </c>
    </row>
    <row r="200" spans="1:33" ht="117.75" hidden="1" thickBot="1">
      <c r="A200" s="1529"/>
      <c r="B200" s="1533"/>
      <c r="C200" s="1529"/>
      <c r="D200" s="1409" t="s">
        <v>2327</v>
      </c>
      <c r="E200" s="1529"/>
      <c r="F200" s="1529"/>
      <c r="G200" s="1529"/>
      <c r="H200" s="1529"/>
      <c r="I200" s="1529"/>
      <c r="J200" s="1529"/>
      <c r="K200" s="1529"/>
      <c r="L200" s="1529"/>
      <c r="M200" s="1529"/>
      <c r="N200" s="1529"/>
      <c r="O200" s="1529"/>
      <c r="P200" s="1529"/>
      <c r="Q200" s="1529"/>
      <c r="R200" s="1529"/>
      <c r="S200" s="1529"/>
      <c r="T200" s="1529"/>
      <c r="U200" s="1529"/>
      <c r="V200" s="1529"/>
      <c r="W200" s="1529"/>
      <c r="X200" s="1529"/>
      <c r="Y200" s="1529"/>
      <c r="Z200" s="1529"/>
      <c r="AA200" s="1529"/>
      <c r="AB200" s="1529"/>
      <c r="AC200" s="1529"/>
      <c r="AD200" s="1529"/>
      <c r="AE200" s="1529"/>
      <c r="AF200" s="1529"/>
      <c r="AG200" s="1529"/>
    </row>
    <row r="201" spans="1:33" ht="109.5" hidden="1" thickBot="1">
      <c r="A201" s="1528">
        <v>37</v>
      </c>
      <c r="B201" s="1531">
        <v>1.7224300000000002E+35</v>
      </c>
      <c r="C201" s="1528" t="s">
        <v>2328</v>
      </c>
      <c r="D201" s="1528" t="s">
        <v>2329</v>
      </c>
      <c r="E201" s="1528">
        <v>0</v>
      </c>
      <c r="F201" s="1528"/>
      <c r="G201" s="1528">
        <v>0</v>
      </c>
      <c r="H201" s="1528">
        <v>0</v>
      </c>
      <c r="I201" s="1528">
        <v>0</v>
      </c>
      <c r="J201" s="1528">
        <v>0</v>
      </c>
      <c r="K201" s="1528">
        <v>0</v>
      </c>
      <c r="L201" s="1528" t="s">
        <v>2129</v>
      </c>
      <c r="M201" s="1528" t="s">
        <v>2129</v>
      </c>
      <c r="N201" s="1528" t="s">
        <v>2129</v>
      </c>
      <c r="O201" s="1528" t="s">
        <v>2129</v>
      </c>
      <c r="P201" s="1528" t="s">
        <v>2129</v>
      </c>
      <c r="Q201" s="1528" t="s">
        <v>2129</v>
      </c>
      <c r="R201" s="1528" t="s">
        <v>2129</v>
      </c>
      <c r="S201" s="1410" t="s">
        <v>2169</v>
      </c>
      <c r="T201" s="1528"/>
      <c r="U201" s="1528"/>
      <c r="V201" s="1528">
        <v>5.2016999999999998</v>
      </c>
      <c r="W201" s="1528">
        <v>12.201700000000001</v>
      </c>
      <c r="X201" s="1528" t="s">
        <v>2281</v>
      </c>
      <c r="Y201" s="1528" t="s">
        <v>2132</v>
      </c>
      <c r="Z201" s="1528" t="s">
        <v>2282</v>
      </c>
      <c r="AA201" s="1410" t="s">
        <v>2301</v>
      </c>
      <c r="AB201" s="1528"/>
      <c r="AC201" s="1528"/>
      <c r="AD201" s="1528"/>
      <c r="AE201" s="1410" t="s">
        <v>2198</v>
      </c>
      <c r="AF201" s="1528"/>
      <c r="AG201" s="1528" t="s">
        <v>2283</v>
      </c>
    </row>
    <row r="202" spans="1:33" ht="84.75" hidden="1" thickBot="1">
      <c r="A202" s="1530"/>
      <c r="B202" s="1532"/>
      <c r="C202" s="1530"/>
      <c r="D202" s="1530"/>
      <c r="E202" s="1530"/>
      <c r="F202" s="1530"/>
      <c r="G202" s="1530"/>
      <c r="H202" s="1530"/>
      <c r="I202" s="1530"/>
      <c r="J202" s="1530"/>
      <c r="K202" s="1530"/>
      <c r="L202" s="1530"/>
      <c r="M202" s="1530"/>
      <c r="N202" s="1530"/>
      <c r="O202" s="1530"/>
      <c r="P202" s="1530"/>
      <c r="Q202" s="1530"/>
      <c r="R202" s="1530"/>
      <c r="S202" s="1410" t="s">
        <v>2325</v>
      </c>
      <c r="T202" s="1530"/>
      <c r="U202" s="1530"/>
      <c r="V202" s="1530"/>
      <c r="W202" s="1530"/>
      <c r="X202" s="1530"/>
      <c r="Y202" s="1530"/>
      <c r="Z202" s="1530"/>
      <c r="AA202" s="1410" t="s">
        <v>2330</v>
      </c>
      <c r="AB202" s="1530"/>
      <c r="AC202" s="1530"/>
      <c r="AD202" s="1530"/>
      <c r="AE202" s="1410" t="s">
        <v>2200</v>
      </c>
      <c r="AF202" s="1530"/>
      <c r="AG202" s="1530"/>
    </row>
    <row r="203" spans="1:33" ht="15.75" hidden="1" thickBot="1">
      <c r="A203" s="1530"/>
      <c r="B203" s="1532"/>
      <c r="C203" s="1530"/>
      <c r="D203" s="1529"/>
      <c r="E203" s="1529"/>
      <c r="F203" s="1529"/>
      <c r="G203" s="1529"/>
      <c r="H203" s="1529"/>
      <c r="I203" s="1529"/>
      <c r="J203" s="1529"/>
      <c r="K203" s="1529"/>
      <c r="L203" s="1529"/>
      <c r="M203" s="1529"/>
      <c r="N203" s="1529"/>
      <c r="O203" s="1529"/>
      <c r="P203" s="1529"/>
      <c r="Q203" s="1529"/>
      <c r="R203" s="1529"/>
      <c r="S203" s="1409"/>
      <c r="T203" s="1529"/>
      <c r="U203" s="1529"/>
      <c r="V203" s="1529"/>
      <c r="W203" s="1529"/>
      <c r="X203" s="1529"/>
      <c r="Y203" s="1529"/>
      <c r="Z203" s="1529"/>
      <c r="AA203" s="1409"/>
      <c r="AB203" s="1529"/>
      <c r="AC203" s="1529"/>
      <c r="AD203" s="1529"/>
      <c r="AE203" s="1409"/>
      <c r="AF203" s="1529"/>
      <c r="AG203" s="1529"/>
    </row>
    <row r="204" spans="1:33" ht="18.75" hidden="1" thickBot="1">
      <c r="A204" s="1530"/>
      <c r="B204" s="1532"/>
      <c r="C204" s="1530"/>
      <c r="D204" s="1410" t="s">
        <v>506</v>
      </c>
      <c r="E204" s="1528" t="s">
        <v>2129</v>
      </c>
      <c r="F204" s="1528" t="s">
        <v>2129</v>
      </c>
      <c r="G204" s="1528" t="s">
        <v>2129</v>
      </c>
      <c r="H204" s="1528" t="s">
        <v>2129</v>
      </c>
      <c r="I204" s="1528" t="s">
        <v>2129</v>
      </c>
      <c r="J204" s="1528" t="s">
        <v>2129</v>
      </c>
      <c r="K204" s="1528" t="s">
        <v>2129</v>
      </c>
      <c r="L204" s="1528" t="s">
        <v>2286</v>
      </c>
      <c r="M204" s="1528">
        <v>166</v>
      </c>
      <c r="N204" s="1528">
        <v>105</v>
      </c>
      <c r="O204" s="1528">
        <v>105</v>
      </c>
      <c r="P204" s="1528"/>
      <c r="Q204" s="1528"/>
      <c r="R204" s="1528"/>
      <c r="S204" s="1528" t="s">
        <v>2129</v>
      </c>
      <c r="T204" s="1528" t="s">
        <v>2129</v>
      </c>
      <c r="U204" s="1528" t="s">
        <v>2129</v>
      </c>
      <c r="V204" s="1528" t="s">
        <v>2129</v>
      </c>
      <c r="W204" s="1528" t="s">
        <v>2129</v>
      </c>
      <c r="X204" s="1528" t="s">
        <v>2129</v>
      </c>
      <c r="Y204" s="1528" t="s">
        <v>2129</v>
      </c>
      <c r="Z204" s="1528" t="s">
        <v>2129</v>
      </c>
      <c r="AA204" s="1528" t="s">
        <v>2129</v>
      </c>
      <c r="AB204" s="1528" t="s">
        <v>2129</v>
      </c>
      <c r="AC204" s="1528" t="s">
        <v>2129</v>
      </c>
      <c r="AD204" s="1528" t="s">
        <v>2129</v>
      </c>
      <c r="AE204" s="1528" t="s">
        <v>2129</v>
      </c>
      <c r="AF204" s="1528" t="s">
        <v>2129</v>
      </c>
      <c r="AG204" s="1528" t="s">
        <v>2129</v>
      </c>
    </row>
    <row r="205" spans="1:33" ht="68.25" hidden="1" thickBot="1">
      <c r="A205" s="1529"/>
      <c r="B205" s="1533"/>
      <c r="C205" s="1529"/>
      <c r="D205" s="1409" t="s">
        <v>2331</v>
      </c>
      <c r="E205" s="1529"/>
      <c r="F205" s="1529"/>
      <c r="G205" s="1529"/>
      <c r="H205" s="1529"/>
      <c r="I205" s="1529"/>
      <c r="J205" s="1529"/>
      <c r="K205" s="1529"/>
      <c r="L205" s="1529"/>
      <c r="M205" s="1529"/>
      <c r="N205" s="1529"/>
      <c r="O205" s="1529"/>
      <c r="P205" s="1529"/>
      <c r="Q205" s="1529"/>
      <c r="R205" s="1529"/>
      <c r="S205" s="1529"/>
      <c r="T205" s="1529"/>
      <c r="U205" s="1529"/>
      <c r="V205" s="1529"/>
      <c r="W205" s="1529"/>
      <c r="X205" s="1529"/>
      <c r="Y205" s="1529"/>
      <c r="Z205" s="1529"/>
      <c r="AA205" s="1529"/>
      <c r="AB205" s="1529"/>
      <c r="AC205" s="1529"/>
      <c r="AD205" s="1529"/>
      <c r="AE205" s="1529"/>
      <c r="AF205" s="1529"/>
      <c r="AG205" s="1529"/>
    </row>
    <row r="206" spans="1:33" ht="60" hidden="1" thickBot="1">
      <c r="A206" s="1528">
        <v>38</v>
      </c>
      <c r="B206" s="1531">
        <v>1.7224300000000002E+35</v>
      </c>
      <c r="C206" s="1528" t="s">
        <v>2332</v>
      </c>
      <c r="D206" s="1528" t="s">
        <v>2333</v>
      </c>
      <c r="E206" s="1528" t="s">
        <v>2334</v>
      </c>
      <c r="F206" s="1528"/>
      <c r="G206" s="1528">
        <v>0</v>
      </c>
      <c r="H206" s="1528">
        <v>0</v>
      </c>
      <c r="I206" s="1528">
        <v>0</v>
      </c>
      <c r="J206" s="1528">
        <v>0</v>
      </c>
      <c r="K206" s="1528">
        <v>0</v>
      </c>
      <c r="L206" s="1528" t="s">
        <v>2129</v>
      </c>
      <c r="M206" s="1528" t="s">
        <v>2129</v>
      </c>
      <c r="N206" s="1528" t="s">
        <v>2129</v>
      </c>
      <c r="O206" s="1528" t="s">
        <v>2129</v>
      </c>
      <c r="P206" s="1528" t="s">
        <v>2129</v>
      </c>
      <c r="Q206" s="1528" t="s">
        <v>2129</v>
      </c>
      <c r="R206" s="1528" t="s">
        <v>2129</v>
      </c>
      <c r="S206" s="1410" t="s">
        <v>2335</v>
      </c>
      <c r="T206" s="1528"/>
      <c r="U206" s="1528"/>
      <c r="V206" s="1528">
        <v>5.2016999999999998</v>
      </c>
      <c r="W206" s="1528">
        <v>12.201700000000001</v>
      </c>
      <c r="X206" s="1528" t="s">
        <v>2281</v>
      </c>
      <c r="Y206" s="1528" t="s">
        <v>2132</v>
      </c>
      <c r="Z206" s="1528" t="s">
        <v>2282</v>
      </c>
      <c r="AA206" s="1528"/>
      <c r="AB206" s="1528"/>
      <c r="AC206" s="1528"/>
      <c r="AD206" s="1528"/>
      <c r="AE206" s="1410" t="s">
        <v>2198</v>
      </c>
      <c r="AF206" s="1528"/>
      <c r="AG206" s="1528" t="s">
        <v>2283</v>
      </c>
    </row>
    <row r="207" spans="1:33" ht="84.75" hidden="1" thickBot="1">
      <c r="A207" s="1530"/>
      <c r="B207" s="1532"/>
      <c r="C207" s="1530"/>
      <c r="D207" s="1529"/>
      <c r="E207" s="1529"/>
      <c r="F207" s="1529"/>
      <c r="G207" s="1529"/>
      <c r="H207" s="1529"/>
      <c r="I207" s="1529"/>
      <c r="J207" s="1529"/>
      <c r="K207" s="1529"/>
      <c r="L207" s="1529"/>
      <c r="M207" s="1529"/>
      <c r="N207" s="1529"/>
      <c r="O207" s="1529"/>
      <c r="P207" s="1529"/>
      <c r="Q207" s="1529"/>
      <c r="R207" s="1529"/>
      <c r="S207" s="1409" t="s">
        <v>2325</v>
      </c>
      <c r="T207" s="1529"/>
      <c r="U207" s="1529"/>
      <c r="V207" s="1529"/>
      <c r="W207" s="1529"/>
      <c r="X207" s="1529"/>
      <c r="Y207" s="1529"/>
      <c r="Z207" s="1529"/>
      <c r="AA207" s="1529"/>
      <c r="AB207" s="1529"/>
      <c r="AC207" s="1529"/>
      <c r="AD207" s="1529"/>
      <c r="AE207" s="1409" t="s">
        <v>2200</v>
      </c>
      <c r="AF207" s="1529"/>
      <c r="AG207" s="1529"/>
    </row>
    <row r="208" spans="1:33" ht="15.75" hidden="1" thickBot="1">
      <c r="A208" s="1530"/>
      <c r="B208" s="1532"/>
      <c r="C208" s="1530"/>
      <c r="D208" s="1410" t="s">
        <v>2336</v>
      </c>
      <c r="E208" s="1528" t="s">
        <v>2129</v>
      </c>
      <c r="F208" s="1528" t="s">
        <v>2129</v>
      </c>
      <c r="G208" s="1528" t="s">
        <v>2129</v>
      </c>
      <c r="H208" s="1528" t="s">
        <v>2129</v>
      </c>
      <c r="I208" s="1528" t="s">
        <v>2129</v>
      </c>
      <c r="J208" s="1528" t="s">
        <v>2129</v>
      </c>
      <c r="K208" s="1528" t="s">
        <v>2129</v>
      </c>
      <c r="L208" s="1528" t="s">
        <v>2286</v>
      </c>
      <c r="M208" s="1528">
        <v>166</v>
      </c>
      <c r="N208" s="1528">
        <v>300</v>
      </c>
      <c r="O208" s="1528">
        <v>300</v>
      </c>
      <c r="P208" s="1528"/>
      <c r="Q208" s="1528"/>
      <c r="R208" s="1528"/>
      <c r="S208" s="1528" t="s">
        <v>2129</v>
      </c>
      <c r="T208" s="1528" t="s">
        <v>2129</v>
      </c>
      <c r="U208" s="1528" t="s">
        <v>2129</v>
      </c>
      <c r="V208" s="1528" t="s">
        <v>2129</v>
      </c>
      <c r="W208" s="1528" t="s">
        <v>2129</v>
      </c>
      <c r="X208" s="1528" t="s">
        <v>2129</v>
      </c>
      <c r="Y208" s="1528" t="s">
        <v>2129</v>
      </c>
      <c r="Z208" s="1528" t="s">
        <v>2129</v>
      </c>
      <c r="AA208" s="1528" t="s">
        <v>2129</v>
      </c>
      <c r="AB208" s="1528" t="s">
        <v>2129</v>
      </c>
      <c r="AC208" s="1528" t="s">
        <v>2129</v>
      </c>
      <c r="AD208" s="1528" t="s">
        <v>2129</v>
      </c>
      <c r="AE208" s="1528" t="s">
        <v>2129</v>
      </c>
      <c r="AF208" s="1528" t="s">
        <v>2129</v>
      </c>
      <c r="AG208" s="1528" t="s">
        <v>2129</v>
      </c>
    </row>
    <row r="209" spans="1:33" ht="84.75" hidden="1" thickBot="1">
      <c r="A209" s="1530"/>
      <c r="B209" s="1532"/>
      <c r="C209" s="1530"/>
      <c r="D209" s="1409" t="s">
        <v>2337</v>
      </c>
      <c r="E209" s="1529"/>
      <c r="F209" s="1529"/>
      <c r="G209" s="1529"/>
      <c r="H209" s="1529"/>
      <c r="I209" s="1529"/>
      <c r="J209" s="1529"/>
      <c r="K209" s="1529"/>
      <c r="L209" s="1529"/>
      <c r="M209" s="1529"/>
      <c r="N209" s="1529"/>
      <c r="O209" s="1529"/>
      <c r="P209" s="1529"/>
      <c r="Q209" s="1529"/>
      <c r="R209" s="1529"/>
      <c r="S209" s="1529"/>
      <c r="T209" s="1529"/>
      <c r="U209" s="1529"/>
      <c r="V209" s="1529"/>
      <c r="W209" s="1529"/>
      <c r="X209" s="1529"/>
      <c r="Y209" s="1529"/>
      <c r="Z209" s="1529"/>
      <c r="AA209" s="1529"/>
      <c r="AB209" s="1529"/>
      <c r="AC209" s="1529"/>
      <c r="AD209" s="1529"/>
      <c r="AE209" s="1529"/>
      <c r="AF209" s="1529"/>
      <c r="AG209" s="1529"/>
    </row>
    <row r="210" spans="1:33" ht="18.75" hidden="1" thickBot="1">
      <c r="A210" s="1530"/>
      <c r="B210" s="1532"/>
      <c r="C210" s="1530"/>
      <c r="D210" s="1410" t="s">
        <v>2338</v>
      </c>
      <c r="E210" s="1528" t="s">
        <v>2129</v>
      </c>
      <c r="F210" s="1528" t="s">
        <v>2129</v>
      </c>
      <c r="G210" s="1528" t="s">
        <v>2129</v>
      </c>
      <c r="H210" s="1528" t="s">
        <v>2129</v>
      </c>
      <c r="I210" s="1528" t="s">
        <v>2129</v>
      </c>
      <c r="J210" s="1528" t="s">
        <v>2129</v>
      </c>
      <c r="K210" s="1528" t="s">
        <v>2129</v>
      </c>
      <c r="L210" s="1528" t="s">
        <v>2339</v>
      </c>
      <c r="M210" s="1528">
        <v>112</v>
      </c>
      <c r="N210" s="1528">
        <v>2200</v>
      </c>
      <c r="O210" s="1528">
        <v>2200</v>
      </c>
      <c r="P210" s="1528"/>
      <c r="Q210" s="1528"/>
      <c r="R210" s="1528"/>
      <c r="S210" s="1528" t="s">
        <v>2129</v>
      </c>
      <c r="T210" s="1528" t="s">
        <v>2129</v>
      </c>
      <c r="U210" s="1528" t="s">
        <v>2129</v>
      </c>
      <c r="V210" s="1528" t="s">
        <v>2129</v>
      </c>
      <c r="W210" s="1528" t="s">
        <v>2129</v>
      </c>
      <c r="X210" s="1528" t="s">
        <v>2129</v>
      </c>
      <c r="Y210" s="1528" t="s">
        <v>2129</v>
      </c>
      <c r="Z210" s="1528" t="s">
        <v>2129</v>
      </c>
      <c r="AA210" s="1528" t="s">
        <v>2129</v>
      </c>
      <c r="AB210" s="1528" t="s">
        <v>2129</v>
      </c>
      <c r="AC210" s="1528" t="s">
        <v>2129</v>
      </c>
      <c r="AD210" s="1528" t="s">
        <v>2129</v>
      </c>
      <c r="AE210" s="1528" t="s">
        <v>2129</v>
      </c>
      <c r="AF210" s="1528" t="s">
        <v>2129</v>
      </c>
      <c r="AG210" s="1528" t="s">
        <v>2129</v>
      </c>
    </row>
    <row r="211" spans="1:33" ht="126" hidden="1" thickBot="1">
      <c r="A211" s="1530"/>
      <c r="B211" s="1532"/>
      <c r="C211" s="1530"/>
      <c r="D211" s="1409" t="s">
        <v>2340</v>
      </c>
      <c r="E211" s="1529"/>
      <c r="F211" s="1529"/>
      <c r="G211" s="1529"/>
      <c r="H211" s="1529"/>
      <c r="I211" s="1529"/>
      <c r="J211" s="1529"/>
      <c r="K211" s="1529"/>
      <c r="L211" s="1529"/>
      <c r="M211" s="1529"/>
      <c r="N211" s="1529"/>
      <c r="O211" s="1529"/>
      <c r="P211" s="1529"/>
      <c r="Q211" s="1529"/>
      <c r="R211" s="1529"/>
      <c r="S211" s="1529"/>
      <c r="T211" s="1529"/>
      <c r="U211" s="1529"/>
      <c r="V211" s="1529"/>
      <c r="W211" s="1529"/>
      <c r="X211" s="1529"/>
      <c r="Y211" s="1529"/>
      <c r="Z211" s="1529"/>
      <c r="AA211" s="1529"/>
      <c r="AB211" s="1529"/>
      <c r="AC211" s="1529"/>
      <c r="AD211" s="1529"/>
      <c r="AE211" s="1529"/>
      <c r="AF211" s="1529"/>
      <c r="AG211" s="1529"/>
    </row>
    <row r="212" spans="1:33" ht="27" hidden="1" thickBot="1">
      <c r="A212" s="1530"/>
      <c r="B212" s="1532"/>
      <c r="C212" s="1530"/>
      <c r="D212" s="1410" t="s">
        <v>2341</v>
      </c>
      <c r="E212" s="1528" t="s">
        <v>2129</v>
      </c>
      <c r="F212" s="1528" t="s">
        <v>2129</v>
      </c>
      <c r="G212" s="1528" t="s">
        <v>2129</v>
      </c>
      <c r="H212" s="1528" t="s">
        <v>2129</v>
      </c>
      <c r="I212" s="1528" t="s">
        <v>2129</v>
      </c>
      <c r="J212" s="1528" t="s">
        <v>2129</v>
      </c>
      <c r="K212" s="1528" t="s">
        <v>2129</v>
      </c>
      <c r="L212" s="1528" t="s">
        <v>2286</v>
      </c>
      <c r="M212" s="1528">
        <v>166</v>
      </c>
      <c r="N212" s="1528">
        <v>300</v>
      </c>
      <c r="O212" s="1528">
        <v>300</v>
      </c>
      <c r="P212" s="1528"/>
      <c r="Q212" s="1528"/>
      <c r="R212" s="1528"/>
      <c r="S212" s="1528" t="s">
        <v>2129</v>
      </c>
      <c r="T212" s="1528" t="s">
        <v>2129</v>
      </c>
      <c r="U212" s="1528" t="s">
        <v>2129</v>
      </c>
      <c r="V212" s="1528" t="s">
        <v>2129</v>
      </c>
      <c r="W212" s="1528" t="s">
        <v>2129</v>
      </c>
      <c r="X212" s="1528" t="s">
        <v>2129</v>
      </c>
      <c r="Y212" s="1528" t="s">
        <v>2129</v>
      </c>
      <c r="Z212" s="1528" t="s">
        <v>2129</v>
      </c>
      <c r="AA212" s="1528" t="s">
        <v>2129</v>
      </c>
      <c r="AB212" s="1528" t="s">
        <v>2129</v>
      </c>
      <c r="AC212" s="1528" t="s">
        <v>2129</v>
      </c>
      <c r="AD212" s="1528" t="s">
        <v>2129</v>
      </c>
      <c r="AE212" s="1528" t="s">
        <v>2129</v>
      </c>
      <c r="AF212" s="1528" t="s">
        <v>2129</v>
      </c>
      <c r="AG212" s="1528" t="s">
        <v>2129</v>
      </c>
    </row>
    <row r="213" spans="1:33" ht="101.25" hidden="1" thickBot="1">
      <c r="A213" s="1529"/>
      <c r="B213" s="1533"/>
      <c r="C213" s="1529"/>
      <c r="D213" s="1409" t="s">
        <v>2342</v>
      </c>
      <c r="E213" s="1529"/>
      <c r="F213" s="1529"/>
      <c r="G213" s="1529"/>
      <c r="H213" s="1529"/>
      <c r="I213" s="1529"/>
      <c r="J213" s="1529"/>
      <c r="K213" s="1529"/>
      <c r="L213" s="1529"/>
      <c r="M213" s="1529"/>
      <c r="N213" s="1529"/>
      <c r="O213" s="1529"/>
      <c r="P213" s="1529"/>
      <c r="Q213" s="1529"/>
      <c r="R213" s="1529"/>
      <c r="S213" s="1529"/>
      <c r="T213" s="1529"/>
      <c r="U213" s="1529"/>
      <c r="V213" s="1529"/>
      <c r="W213" s="1529"/>
      <c r="X213" s="1529"/>
      <c r="Y213" s="1529"/>
      <c r="Z213" s="1529"/>
      <c r="AA213" s="1529"/>
      <c r="AB213" s="1529"/>
      <c r="AC213" s="1529"/>
      <c r="AD213" s="1529"/>
      <c r="AE213" s="1529"/>
      <c r="AF213" s="1529"/>
      <c r="AG213" s="1529"/>
    </row>
    <row r="214" spans="1:33" ht="60" hidden="1" thickBot="1">
      <c r="A214" s="1528">
        <v>39</v>
      </c>
      <c r="B214" s="1531">
        <v>1.7224300000000002E+35</v>
      </c>
      <c r="C214" s="1528" t="s">
        <v>2343</v>
      </c>
      <c r="D214" s="1528" t="s">
        <v>2344</v>
      </c>
      <c r="E214" s="1528">
        <v>102945.60000000001</v>
      </c>
      <c r="F214" s="1528"/>
      <c r="G214" s="1528">
        <v>102945.60000000001</v>
      </c>
      <c r="H214" s="1528">
        <v>102945.60000000001</v>
      </c>
      <c r="I214" s="1528">
        <v>0</v>
      </c>
      <c r="J214" s="1528">
        <v>0</v>
      </c>
      <c r="K214" s="1528">
        <v>0</v>
      </c>
      <c r="L214" s="1528" t="s">
        <v>2129</v>
      </c>
      <c r="M214" s="1528" t="s">
        <v>2129</v>
      </c>
      <c r="N214" s="1528" t="s">
        <v>2129</v>
      </c>
      <c r="O214" s="1528" t="s">
        <v>2129</v>
      </c>
      <c r="P214" s="1528" t="s">
        <v>2129</v>
      </c>
      <c r="Q214" s="1528" t="s">
        <v>2129</v>
      </c>
      <c r="R214" s="1528" t="s">
        <v>2129</v>
      </c>
      <c r="S214" s="1410" t="s">
        <v>2345</v>
      </c>
      <c r="T214" s="1528">
        <v>1029.46</v>
      </c>
      <c r="U214" s="1528">
        <v>5147.28</v>
      </c>
      <c r="V214" s="1528">
        <v>5.2016999999999998</v>
      </c>
      <c r="W214" s="1528">
        <v>12.201700000000001</v>
      </c>
      <c r="X214" s="1528" t="s">
        <v>2281</v>
      </c>
      <c r="Y214" s="1528" t="s">
        <v>2132</v>
      </c>
      <c r="Z214" s="1528" t="s">
        <v>2282</v>
      </c>
      <c r="AA214" s="1528" t="s">
        <v>2346</v>
      </c>
      <c r="AB214" s="1528"/>
      <c r="AC214" s="1528"/>
      <c r="AD214" s="1528"/>
      <c r="AE214" s="1410" t="s">
        <v>2198</v>
      </c>
      <c r="AF214" s="1528"/>
      <c r="AG214" s="1528" t="s">
        <v>2283</v>
      </c>
    </row>
    <row r="215" spans="1:33" ht="84.75" hidden="1" thickBot="1">
      <c r="A215" s="1530"/>
      <c r="B215" s="1532"/>
      <c r="C215" s="1530"/>
      <c r="D215" s="1530"/>
      <c r="E215" s="1530"/>
      <c r="F215" s="1530"/>
      <c r="G215" s="1530"/>
      <c r="H215" s="1530"/>
      <c r="I215" s="1530"/>
      <c r="J215" s="1530"/>
      <c r="K215" s="1530"/>
      <c r="L215" s="1530"/>
      <c r="M215" s="1530"/>
      <c r="N215" s="1530"/>
      <c r="O215" s="1530"/>
      <c r="P215" s="1530"/>
      <c r="Q215" s="1530"/>
      <c r="R215" s="1530"/>
      <c r="S215" s="1410" t="s">
        <v>2239</v>
      </c>
      <c r="T215" s="1530"/>
      <c r="U215" s="1530"/>
      <c r="V215" s="1530"/>
      <c r="W215" s="1530"/>
      <c r="X215" s="1530"/>
      <c r="Y215" s="1530"/>
      <c r="Z215" s="1530"/>
      <c r="AA215" s="1530"/>
      <c r="AB215" s="1530"/>
      <c r="AC215" s="1530"/>
      <c r="AD215" s="1530"/>
      <c r="AE215" s="1410" t="s">
        <v>2200</v>
      </c>
      <c r="AF215" s="1530"/>
      <c r="AG215" s="1530"/>
    </row>
    <row r="216" spans="1:33" ht="15.75" hidden="1" thickBot="1">
      <c r="A216" s="1530"/>
      <c r="B216" s="1532"/>
      <c r="C216" s="1530"/>
      <c r="D216" s="1529"/>
      <c r="E216" s="1529"/>
      <c r="F216" s="1529"/>
      <c r="G216" s="1529"/>
      <c r="H216" s="1529"/>
      <c r="I216" s="1529"/>
      <c r="J216" s="1529"/>
      <c r="K216" s="1529"/>
      <c r="L216" s="1529"/>
      <c r="M216" s="1529"/>
      <c r="N216" s="1529"/>
      <c r="O216" s="1529"/>
      <c r="P216" s="1529"/>
      <c r="Q216" s="1529"/>
      <c r="R216" s="1529"/>
      <c r="S216" s="1409"/>
      <c r="T216" s="1529"/>
      <c r="U216" s="1529"/>
      <c r="V216" s="1529"/>
      <c r="W216" s="1529"/>
      <c r="X216" s="1529"/>
      <c r="Y216" s="1529"/>
      <c r="Z216" s="1529"/>
      <c r="AA216" s="1529"/>
      <c r="AB216" s="1529"/>
      <c r="AC216" s="1529"/>
      <c r="AD216" s="1529"/>
      <c r="AE216" s="1409"/>
      <c r="AF216" s="1529"/>
      <c r="AG216" s="1529"/>
    </row>
    <row r="217" spans="1:33" ht="15.75" hidden="1" thickBot="1">
      <c r="A217" s="1530"/>
      <c r="B217" s="1532"/>
      <c r="C217" s="1530"/>
      <c r="D217" s="1410" t="s">
        <v>527</v>
      </c>
      <c r="E217" s="1528" t="s">
        <v>2129</v>
      </c>
      <c r="F217" s="1528" t="s">
        <v>2129</v>
      </c>
      <c r="G217" s="1528" t="s">
        <v>2129</v>
      </c>
      <c r="H217" s="1528" t="s">
        <v>2129</v>
      </c>
      <c r="I217" s="1528" t="s">
        <v>2129</v>
      </c>
      <c r="J217" s="1528" t="s">
        <v>2129</v>
      </c>
      <c r="K217" s="1528" t="s">
        <v>2129</v>
      </c>
      <c r="L217" s="1528" t="s">
        <v>2286</v>
      </c>
      <c r="M217" s="1528">
        <v>166</v>
      </c>
      <c r="N217" s="1528">
        <v>240</v>
      </c>
      <c r="O217" s="1528">
        <v>240</v>
      </c>
      <c r="P217" s="1528"/>
      <c r="Q217" s="1528"/>
      <c r="R217" s="1528"/>
      <c r="S217" s="1528" t="s">
        <v>2129</v>
      </c>
      <c r="T217" s="1528" t="s">
        <v>2129</v>
      </c>
      <c r="U217" s="1528" t="s">
        <v>2129</v>
      </c>
      <c r="V217" s="1528" t="s">
        <v>2129</v>
      </c>
      <c r="W217" s="1528" t="s">
        <v>2129</v>
      </c>
      <c r="X217" s="1528" t="s">
        <v>2129</v>
      </c>
      <c r="Y217" s="1528" t="s">
        <v>2129</v>
      </c>
      <c r="Z217" s="1528" t="s">
        <v>2129</v>
      </c>
      <c r="AA217" s="1528" t="s">
        <v>2129</v>
      </c>
      <c r="AB217" s="1528" t="s">
        <v>2129</v>
      </c>
      <c r="AC217" s="1528" t="s">
        <v>2129</v>
      </c>
      <c r="AD217" s="1528" t="s">
        <v>2129</v>
      </c>
      <c r="AE217" s="1528" t="s">
        <v>2129</v>
      </c>
      <c r="AF217" s="1528" t="s">
        <v>2129</v>
      </c>
      <c r="AG217" s="1528" t="s">
        <v>2129</v>
      </c>
    </row>
    <row r="218" spans="1:33" ht="76.5" hidden="1" thickBot="1">
      <c r="A218" s="1529"/>
      <c r="B218" s="1533"/>
      <c r="C218" s="1529"/>
      <c r="D218" s="1409" t="s">
        <v>2347</v>
      </c>
      <c r="E218" s="1529"/>
      <c r="F218" s="1529"/>
      <c r="G218" s="1529"/>
      <c r="H218" s="1529"/>
      <c r="I218" s="1529"/>
      <c r="J218" s="1529"/>
      <c r="K218" s="1529"/>
      <c r="L218" s="1529"/>
      <c r="M218" s="1529"/>
      <c r="N218" s="1529"/>
      <c r="O218" s="1529"/>
      <c r="P218" s="1529"/>
      <c r="Q218" s="1529"/>
      <c r="R218" s="1529"/>
      <c r="S218" s="1529"/>
      <c r="T218" s="1529"/>
      <c r="U218" s="1529"/>
      <c r="V218" s="1529"/>
      <c r="W218" s="1529"/>
      <c r="X218" s="1529"/>
      <c r="Y218" s="1529"/>
      <c r="Z218" s="1529"/>
      <c r="AA218" s="1529"/>
      <c r="AB218" s="1529"/>
      <c r="AC218" s="1529"/>
      <c r="AD218" s="1529"/>
      <c r="AE218" s="1529"/>
      <c r="AF218" s="1529"/>
      <c r="AG218" s="1529"/>
    </row>
    <row r="219" spans="1:33" ht="60" hidden="1" thickBot="1">
      <c r="A219" s="1528">
        <v>40</v>
      </c>
      <c r="B219" s="1531">
        <v>1.7224300000000002E+35</v>
      </c>
      <c r="C219" s="1528" t="s">
        <v>2348</v>
      </c>
      <c r="D219" s="1528" t="s">
        <v>2349</v>
      </c>
      <c r="E219" s="1528">
        <v>0</v>
      </c>
      <c r="F219" s="1528"/>
      <c r="G219" s="1528">
        <v>0</v>
      </c>
      <c r="H219" s="1528">
        <v>0</v>
      </c>
      <c r="I219" s="1528">
        <v>0</v>
      </c>
      <c r="J219" s="1528">
        <v>0</v>
      </c>
      <c r="K219" s="1528">
        <v>0</v>
      </c>
      <c r="L219" s="1528" t="s">
        <v>2129</v>
      </c>
      <c r="M219" s="1528" t="s">
        <v>2129</v>
      </c>
      <c r="N219" s="1528" t="s">
        <v>2129</v>
      </c>
      <c r="O219" s="1528" t="s">
        <v>2129</v>
      </c>
      <c r="P219" s="1528" t="s">
        <v>2129</v>
      </c>
      <c r="Q219" s="1528" t="s">
        <v>2129</v>
      </c>
      <c r="R219" s="1528" t="s">
        <v>2129</v>
      </c>
      <c r="S219" s="1410" t="s">
        <v>2335</v>
      </c>
      <c r="T219" s="1528"/>
      <c r="U219" s="1528"/>
      <c r="V219" s="1528">
        <v>5.2016999999999998</v>
      </c>
      <c r="W219" s="1528">
        <v>12.201700000000001</v>
      </c>
      <c r="X219" s="1528" t="s">
        <v>2281</v>
      </c>
      <c r="Y219" s="1528" t="s">
        <v>2282</v>
      </c>
      <c r="Z219" s="1528" t="s">
        <v>2132</v>
      </c>
      <c r="AA219" s="1528"/>
      <c r="AB219" s="1528"/>
      <c r="AC219" s="1528"/>
      <c r="AD219" s="1528"/>
      <c r="AE219" s="1410" t="s">
        <v>2198</v>
      </c>
      <c r="AF219" s="1528"/>
      <c r="AG219" s="1528" t="s">
        <v>2283</v>
      </c>
    </row>
    <row r="220" spans="1:33" ht="84.75" hidden="1" thickBot="1">
      <c r="A220" s="1530"/>
      <c r="B220" s="1532"/>
      <c r="C220" s="1530"/>
      <c r="D220" s="1529"/>
      <c r="E220" s="1529"/>
      <c r="F220" s="1529"/>
      <c r="G220" s="1529"/>
      <c r="H220" s="1529"/>
      <c r="I220" s="1529"/>
      <c r="J220" s="1529"/>
      <c r="K220" s="1529"/>
      <c r="L220" s="1529"/>
      <c r="M220" s="1529"/>
      <c r="N220" s="1529"/>
      <c r="O220" s="1529"/>
      <c r="P220" s="1529"/>
      <c r="Q220" s="1529"/>
      <c r="R220" s="1529"/>
      <c r="S220" s="1409" t="s">
        <v>2239</v>
      </c>
      <c r="T220" s="1529"/>
      <c r="U220" s="1529"/>
      <c r="V220" s="1529"/>
      <c r="W220" s="1529"/>
      <c r="X220" s="1529"/>
      <c r="Y220" s="1529"/>
      <c r="Z220" s="1529"/>
      <c r="AA220" s="1529"/>
      <c r="AB220" s="1529"/>
      <c r="AC220" s="1529"/>
      <c r="AD220" s="1529"/>
      <c r="AE220" s="1409" t="s">
        <v>2200</v>
      </c>
      <c r="AF220" s="1529"/>
      <c r="AG220" s="1529"/>
    </row>
    <row r="221" spans="1:33" ht="15.75" hidden="1" thickBot="1">
      <c r="A221" s="1530"/>
      <c r="B221" s="1532"/>
      <c r="C221" s="1530"/>
      <c r="D221" s="1410" t="s">
        <v>525</v>
      </c>
      <c r="E221" s="1528" t="s">
        <v>2129</v>
      </c>
      <c r="F221" s="1528" t="s">
        <v>2129</v>
      </c>
      <c r="G221" s="1528" t="s">
        <v>2129</v>
      </c>
      <c r="H221" s="1528" t="s">
        <v>2129</v>
      </c>
      <c r="I221" s="1528" t="s">
        <v>2129</v>
      </c>
      <c r="J221" s="1528" t="s">
        <v>2129</v>
      </c>
      <c r="K221" s="1528" t="s">
        <v>2129</v>
      </c>
      <c r="L221" s="1528" t="s">
        <v>2286</v>
      </c>
      <c r="M221" s="1528">
        <v>166</v>
      </c>
      <c r="N221" s="1528">
        <v>72</v>
      </c>
      <c r="O221" s="1528">
        <v>72</v>
      </c>
      <c r="P221" s="1528"/>
      <c r="Q221" s="1528"/>
      <c r="R221" s="1528"/>
      <c r="S221" s="1528" t="s">
        <v>2129</v>
      </c>
      <c r="T221" s="1528" t="s">
        <v>2129</v>
      </c>
      <c r="U221" s="1528" t="s">
        <v>2129</v>
      </c>
      <c r="V221" s="1528" t="s">
        <v>2129</v>
      </c>
      <c r="W221" s="1528" t="s">
        <v>2129</v>
      </c>
      <c r="X221" s="1528" t="s">
        <v>2129</v>
      </c>
      <c r="Y221" s="1528" t="s">
        <v>2129</v>
      </c>
      <c r="Z221" s="1528" t="s">
        <v>2129</v>
      </c>
      <c r="AA221" s="1528" t="s">
        <v>2129</v>
      </c>
      <c r="AB221" s="1528" t="s">
        <v>2129</v>
      </c>
      <c r="AC221" s="1528" t="s">
        <v>2129</v>
      </c>
      <c r="AD221" s="1528" t="s">
        <v>2129</v>
      </c>
      <c r="AE221" s="1528" t="s">
        <v>2129</v>
      </c>
      <c r="AF221" s="1528" t="s">
        <v>2129</v>
      </c>
      <c r="AG221" s="1528" t="s">
        <v>2129</v>
      </c>
    </row>
    <row r="222" spans="1:33" ht="76.5" hidden="1" thickBot="1">
      <c r="A222" s="1530"/>
      <c r="B222" s="1532"/>
      <c r="C222" s="1530"/>
      <c r="D222" s="1409" t="s">
        <v>2350</v>
      </c>
      <c r="E222" s="1529"/>
      <c r="F222" s="1529"/>
      <c r="G222" s="1529"/>
      <c r="H222" s="1529"/>
      <c r="I222" s="1529"/>
      <c r="J222" s="1529"/>
      <c r="K222" s="1529"/>
      <c r="L222" s="1529"/>
      <c r="M222" s="1529"/>
      <c r="N222" s="1529"/>
      <c r="O222" s="1529"/>
      <c r="P222" s="1529"/>
      <c r="Q222" s="1529"/>
      <c r="R222" s="1529"/>
      <c r="S222" s="1529"/>
      <c r="T222" s="1529"/>
      <c r="U222" s="1529"/>
      <c r="V222" s="1529"/>
      <c r="W222" s="1529"/>
      <c r="X222" s="1529"/>
      <c r="Y222" s="1529"/>
      <c r="Z222" s="1529"/>
      <c r="AA222" s="1529"/>
      <c r="AB222" s="1529"/>
      <c r="AC222" s="1529"/>
      <c r="AD222" s="1529"/>
      <c r="AE222" s="1529"/>
      <c r="AF222" s="1529"/>
      <c r="AG222" s="1529"/>
    </row>
    <row r="223" spans="1:33" ht="18.75" hidden="1" thickBot="1">
      <c r="A223" s="1530"/>
      <c r="B223" s="1532"/>
      <c r="C223" s="1530"/>
      <c r="D223" s="1410" t="s">
        <v>2351</v>
      </c>
      <c r="E223" s="1528" t="s">
        <v>2129</v>
      </c>
      <c r="F223" s="1528" t="s">
        <v>2129</v>
      </c>
      <c r="G223" s="1528" t="s">
        <v>2129</v>
      </c>
      <c r="H223" s="1528" t="s">
        <v>2129</v>
      </c>
      <c r="I223" s="1528" t="s">
        <v>2129</v>
      </c>
      <c r="J223" s="1528" t="s">
        <v>2129</v>
      </c>
      <c r="K223" s="1528" t="s">
        <v>2129</v>
      </c>
      <c r="L223" s="1528" t="s">
        <v>2286</v>
      </c>
      <c r="M223" s="1528">
        <v>166</v>
      </c>
      <c r="N223" s="1528">
        <v>70</v>
      </c>
      <c r="O223" s="1528">
        <v>70</v>
      </c>
      <c r="P223" s="1528"/>
      <c r="Q223" s="1528"/>
      <c r="R223" s="1528"/>
      <c r="S223" s="1528" t="s">
        <v>2129</v>
      </c>
      <c r="T223" s="1528" t="s">
        <v>2129</v>
      </c>
      <c r="U223" s="1528" t="s">
        <v>2129</v>
      </c>
      <c r="V223" s="1528" t="s">
        <v>2129</v>
      </c>
      <c r="W223" s="1528" t="s">
        <v>2129</v>
      </c>
      <c r="X223" s="1528" t="s">
        <v>2129</v>
      </c>
      <c r="Y223" s="1528" t="s">
        <v>2129</v>
      </c>
      <c r="Z223" s="1528" t="s">
        <v>2129</v>
      </c>
      <c r="AA223" s="1528" t="s">
        <v>2129</v>
      </c>
      <c r="AB223" s="1528" t="s">
        <v>2129</v>
      </c>
      <c r="AC223" s="1528" t="s">
        <v>2129</v>
      </c>
      <c r="AD223" s="1528" t="s">
        <v>2129</v>
      </c>
      <c r="AE223" s="1528" t="s">
        <v>2129</v>
      </c>
      <c r="AF223" s="1528" t="s">
        <v>2129</v>
      </c>
      <c r="AG223" s="1528" t="s">
        <v>2129</v>
      </c>
    </row>
    <row r="224" spans="1:33" ht="68.25" hidden="1" thickBot="1">
      <c r="A224" s="1529"/>
      <c r="B224" s="1533"/>
      <c r="C224" s="1529"/>
      <c r="D224" s="1409" t="s">
        <v>2352</v>
      </c>
      <c r="E224" s="1529"/>
      <c r="F224" s="1529"/>
      <c r="G224" s="1529"/>
      <c r="H224" s="1529"/>
      <c r="I224" s="1529"/>
      <c r="J224" s="1529"/>
      <c r="K224" s="1529"/>
      <c r="L224" s="1529"/>
      <c r="M224" s="1529"/>
      <c r="N224" s="1529"/>
      <c r="O224" s="1529"/>
      <c r="P224" s="1529"/>
      <c r="Q224" s="1529"/>
      <c r="R224" s="1529"/>
      <c r="S224" s="1529"/>
      <c r="T224" s="1529"/>
      <c r="U224" s="1529"/>
      <c r="V224" s="1529"/>
      <c r="W224" s="1529"/>
      <c r="X224" s="1529"/>
      <c r="Y224" s="1529"/>
      <c r="Z224" s="1529"/>
      <c r="AA224" s="1529"/>
      <c r="AB224" s="1529"/>
      <c r="AC224" s="1529"/>
      <c r="AD224" s="1529"/>
      <c r="AE224" s="1529"/>
      <c r="AF224" s="1529"/>
      <c r="AG224" s="1529"/>
    </row>
    <row r="225" spans="1:33" ht="60" hidden="1" thickBot="1">
      <c r="A225" s="1528">
        <v>41</v>
      </c>
      <c r="B225" s="1531">
        <v>1.7224300000000002E+35</v>
      </c>
      <c r="C225" s="1528" t="s">
        <v>2353</v>
      </c>
      <c r="D225" s="1528" t="s">
        <v>2354</v>
      </c>
      <c r="E225" s="1528">
        <v>0</v>
      </c>
      <c r="F225" s="1528"/>
      <c r="G225" s="1528">
        <v>0</v>
      </c>
      <c r="H225" s="1528">
        <v>0</v>
      </c>
      <c r="I225" s="1528">
        <v>0</v>
      </c>
      <c r="J225" s="1528">
        <v>0</v>
      </c>
      <c r="K225" s="1528">
        <v>0</v>
      </c>
      <c r="L225" s="1528" t="s">
        <v>2129</v>
      </c>
      <c r="M225" s="1528" t="s">
        <v>2129</v>
      </c>
      <c r="N225" s="1528" t="s">
        <v>2129</v>
      </c>
      <c r="O225" s="1528" t="s">
        <v>2129</v>
      </c>
      <c r="P225" s="1528" t="s">
        <v>2129</v>
      </c>
      <c r="Q225" s="1528" t="s">
        <v>2129</v>
      </c>
      <c r="R225" s="1528" t="s">
        <v>2129</v>
      </c>
      <c r="S225" s="1410" t="s">
        <v>2335</v>
      </c>
      <c r="T225" s="1528"/>
      <c r="U225" s="1528"/>
      <c r="V225" s="1528">
        <v>5.2016999999999998</v>
      </c>
      <c r="W225" s="1528">
        <v>12.201700000000001</v>
      </c>
      <c r="X225" s="1528" t="s">
        <v>2281</v>
      </c>
      <c r="Y225" s="1528" t="s">
        <v>2282</v>
      </c>
      <c r="Z225" s="1528" t="s">
        <v>2132</v>
      </c>
      <c r="AA225" s="1528" t="s">
        <v>2346</v>
      </c>
      <c r="AB225" s="1528"/>
      <c r="AC225" s="1528"/>
      <c r="AD225" s="1528"/>
      <c r="AE225" s="1410" t="s">
        <v>2198</v>
      </c>
      <c r="AF225" s="1528"/>
      <c r="AG225" s="1528" t="s">
        <v>2283</v>
      </c>
    </row>
    <row r="226" spans="1:33" ht="84.75" hidden="1" thickBot="1">
      <c r="A226" s="1530"/>
      <c r="B226" s="1532"/>
      <c r="C226" s="1530"/>
      <c r="D226" s="1530"/>
      <c r="E226" s="1530"/>
      <c r="F226" s="1530"/>
      <c r="G226" s="1530"/>
      <c r="H226" s="1530"/>
      <c r="I226" s="1530"/>
      <c r="J226" s="1530"/>
      <c r="K226" s="1530"/>
      <c r="L226" s="1530"/>
      <c r="M226" s="1530"/>
      <c r="N226" s="1530"/>
      <c r="O226" s="1530"/>
      <c r="P226" s="1530"/>
      <c r="Q226" s="1530"/>
      <c r="R226" s="1530"/>
      <c r="S226" s="1410" t="s">
        <v>2239</v>
      </c>
      <c r="T226" s="1530"/>
      <c r="U226" s="1530"/>
      <c r="V226" s="1530"/>
      <c r="W226" s="1530"/>
      <c r="X226" s="1530"/>
      <c r="Y226" s="1530"/>
      <c r="Z226" s="1530"/>
      <c r="AA226" s="1530"/>
      <c r="AB226" s="1530"/>
      <c r="AC226" s="1530"/>
      <c r="AD226" s="1530"/>
      <c r="AE226" s="1410" t="s">
        <v>2200</v>
      </c>
      <c r="AF226" s="1530"/>
      <c r="AG226" s="1530"/>
    </row>
    <row r="227" spans="1:33" ht="15.75" hidden="1" thickBot="1">
      <c r="A227" s="1530"/>
      <c r="B227" s="1532"/>
      <c r="C227" s="1530"/>
      <c r="D227" s="1529"/>
      <c r="E227" s="1529"/>
      <c r="F227" s="1529"/>
      <c r="G227" s="1529"/>
      <c r="H227" s="1529"/>
      <c r="I227" s="1529"/>
      <c r="J227" s="1529"/>
      <c r="K227" s="1529"/>
      <c r="L227" s="1529"/>
      <c r="M227" s="1529"/>
      <c r="N227" s="1529"/>
      <c r="O227" s="1529"/>
      <c r="P227" s="1529"/>
      <c r="Q227" s="1529"/>
      <c r="R227" s="1529"/>
      <c r="S227" s="1409"/>
      <c r="T227" s="1529"/>
      <c r="U227" s="1529"/>
      <c r="V227" s="1529"/>
      <c r="W227" s="1529"/>
      <c r="X227" s="1529"/>
      <c r="Y227" s="1529"/>
      <c r="Z227" s="1529"/>
      <c r="AA227" s="1529"/>
      <c r="AB227" s="1529"/>
      <c r="AC227" s="1529"/>
      <c r="AD227" s="1529"/>
      <c r="AE227" s="1409"/>
      <c r="AF227" s="1529"/>
      <c r="AG227" s="1529"/>
    </row>
    <row r="228" spans="1:33" ht="27" hidden="1" thickBot="1">
      <c r="A228" s="1530"/>
      <c r="B228" s="1532"/>
      <c r="C228" s="1530"/>
      <c r="D228" s="1410" t="s">
        <v>2355</v>
      </c>
      <c r="E228" s="1528" t="s">
        <v>2129</v>
      </c>
      <c r="F228" s="1528" t="s">
        <v>2129</v>
      </c>
      <c r="G228" s="1528" t="s">
        <v>2129</v>
      </c>
      <c r="H228" s="1528" t="s">
        <v>2129</v>
      </c>
      <c r="I228" s="1528" t="s">
        <v>2129</v>
      </c>
      <c r="J228" s="1528" t="s">
        <v>2129</v>
      </c>
      <c r="K228" s="1528" t="s">
        <v>2129</v>
      </c>
      <c r="L228" s="1528" t="s">
        <v>2286</v>
      </c>
      <c r="M228" s="1528">
        <v>166</v>
      </c>
      <c r="N228" s="1528">
        <v>400</v>
      </c>
      <c r="O228" s="1528">
        <v>400</v>
      </c>
      <c r="P228" s="1528"/>
      <c r="Q228" s="1528"/>
      <c r="R228" s="1528"/>
      <c r="S228" s="1528" t="s">
        <v>2129</v>
      </c>
      <c r="T228" s="1528" t="s">
        <v>2129</v>
      </c>
      <c r="U228" s="1528" t="s">
        <v>2129</v>
      </c>
      <c r="V228" s="1528" t="s">
        <v>2129</v>
      </c>
      <c r="W228" s="1528" t="s">
        <v>2129</v>
      </c>
      <c r="X228" s="1528" t="s">
        <v>2129</v>
      </c>
      <c r="Y228" s="1528" t="s">
        <v>2129</v>
      </c>
      <c r="Z228" s="1528" t="s">
        <v>2129</v>
      </c>
      <c r="AA228" s="1528" t="s">
        <v>2129</v>
      </c>
      <c r="AB228" s="1528" t="s">
        <v>2129</v>
      </c>
      <c r="AC228" s="1528" t="s">
        <v>2129</v>
      </c>
      <c r="AD228" s="1528" t="s">
        <v>2129</v>
      </c>
      <c r="AE228" s="1528" t="s">
        <v>2129</v>
      </c>
      <c r="AF228" s="1528" t="s">
        <v>2129</v>
      </c>
      <c r="AG228" s="1528" t="s">
        <v>2129</v>
      </c>
    </row>
    <row r="229" spans="1:33" ht="76.5" hidden="1" thickBot="1">
      <c r="A229" s="1529"/>
      <c r="B229" s="1533"/>
      <c r="C229" s="1529"/>
      <c r="D229" s="1409" t="s">
        <v>2356</v>
      </c>
      <c r="E229" s="1529"/>
      <c r="F229" s="1529"/>
      <c r="G229" s="1529"/>
      <c r="H229" s="1529"/>
      <c r="I229" s="1529"/>
      <c r="J229" s="1529"/>
      <c r="K229" s="1529"/>
      <c r="L229" s="1529"/>
      <c r="M229" s="1529"/>
      <c r="N229" s="1529"/>
      <c r="O229" s="1529"/>
      <c r="P229" s="1529"/>
      <c r="Q229" s="1529"/>
      <c r="R229" s="1529"/>
      <c r="S229" s="1529"/>
      <c r="T229" s="1529"/>
      <c r="U229" s="1529"/>
      <c r="V229" s="1529"/>
      <c r="W229" s="1529"/>
      <c r="X229" s="1529"/>
      <c r="Y229" s="1529"/>
      <c r="Z229" s="1529"/>
      <c r="AA229" s="1529"/>
      <c r="AB229" s="1529"/>
      <c r="AC229" s="1529"/>
      <c r="AD229" s="1529"/>
      <c r="AE229" s="1529"/>
      <c r="AF229" s="1529"/>
      <c r="AG229" s="1529"/>
    </row>
    <row r="230" spans="1:33" ht="60" hidden="1" thickBot="1">
      <c r="A230" s="1528">
        <v>42</v>
      </c>
      <c r="B230" s="1531">
        <v>1.7224300000000002E+35</v>
      </c>
      <c r="C230" s="1528" t="s">
        <v>2357</v>
      </c>
      <c r="D230" s="1528" t="s">
        <v>2358</v>
      </c>
      <c r="E230" s="1528">
        <v>0</v>
      </c>
      <c r="F230" s="1528"/>
      <c r="G230" s="1528">
        <v>0</v>
      </c>
      <c r="H230" s="1528">
        <v>0</v>
      </c>
      <c r="I230" s="1528">
        <v>0</v>
      </c>
      <c r="J230" s="1528">
        <v>0</v>
      </c>
      <c r="K230" s="1528">
        <v>0</v>
      </c>
      <c r="L230" s="1528" t="s">
        <v>2129</v>
      </c>
      <c r="M230" s="1528" t="s">
        <v>2129</v>
      </c>
      <c r="N230" s="1528" t="s">
        <v>2129</v>
      </c>
      <c r="O230" s="1528" t="s">
        <v>2129</v>
      </c>
      <c r="P230" s="1528" t="s">
        <v>2129</v>
      </c>
      <c r="Q230" s="1528" t="s">
        <v>2129</v>
      </c>
      <c r="R230" s="1528" t="s">
        <v>2129</v>
      </c>
      <c r="S230" s="1410" t="s">
        <v>2149</v>
      </c>
      <c r="T230" s="1528"/>
      <c r="U230" s="1528"/>
      <c r="V230" s="1528">
        <v>5.2016999999999998</v>
      </c>
      <c r="W230" s="1528">
        <v>12.201700000000001</v>
      </c>
      <c r="X230" s="1528" t="s">
        <v>2281</v>
      </c>
      <c r="Y230" s="1528" t="s">
        <v>2132</v>
      </c>
      <c r="Z230" s="1528" t="s">
        <v>2282</v>
      </c>
      <c r="AA230" s="1528" t="s">
        <v>2346</v>
      </c>
      <c r="AB230" s="1528"/>
      <c r="AC230" s="1528"/>
      <c r="AD230" s="1528"/>
      <c r="AE230" s="1410" t="s">
        <v>2198</v>
      </c>
      <c r="AF230" s="1528"/>
      <c r="AG230" s="1528" t="s">
        <v>2283</v>
      </c>
    </row>
    <row r="231" spans="1:33" ht="84.75" hidden="1" thickBot="1">
      <c r="A231" s="1530"/>
      <c r="B231" s="1532"/>
      <c r="C231" s="1530"/>
      <c r="D231" s="1530"/>
      <c r="E231" s="1530"/>
      <c r="F231" s="1530"/>
      <c r="G231" s="1530"/>
      <c r="H231" s="1530"/>
      <c r="I231" s="1530"/>
      <c r="J231" s="1530"/>
      <c r="K231" s="1530"/>
      <c r="L231" s="1530"/>
      <c r="M231" s="1530"/>
      <c r="N231" s="1530"/>
      <c r="O231" s="1530"/>
      <c r="P231" s="1530"/>
      <c r="Q231" s="1530"/>
      <c r="R231" s="1530"/>
      <c r="S231" s="1410" t="s">
        <v>2239</v>
      </c>
      <c r="T231" s="1530"/>
      <c r="U231" s="1530"/>
      <c r="V231" s="1530"/>
      <c r="W231" s="1530"/>
      <c r="X231" s="1530"/>
      <c r="Y231" s="1530"/>
      <c r="Z231" s="1530"/>
      <c r="AA231" s="1530"/>
      <c r="AB231" s="1530"/>
      <c r="AC231" s="1530"/>
      <c r="AD231" s="1530"/>
      <c r="AE231" s="1410" t="s">
        <v>2200</v>
      </c>
      <c r="AF231" s="1530"/>
      <c r="AG231" s="1530"/>
    </row>
    <row r="232" spans="1:33" ht="15.75" hidden="1" thickBot="1">
      <c r="A232" s="1530"/>
      <c r="B232" s="1532"/>
      <c r="C232" s="1530"/>
      <c r="D232" s="1529"/>
      <c r="E232" s="1529"/>
      <c r="F232" s="1529"/>
      <c r="G232" s="1529"/>
      <c r="H232" s="1529"/>
      <c r="I232" s="1529"/>
      <c r="J232" s="1529"/>
      <c r="K232" s="1529"/>
      <c r="L232" s="1529"/>
      <c r="M232" s="1529"/>
      <c r="N232" s="1529"/>
      <c r="O232" s="1529"/>
      <c r="P232" s="1529"/>
      <c r="Q232" s="1529"/>
      <c r="R232" s="1529"/>
      <c r="S232" s="1409"/>
      <c r="T232" s="1529"/>
      <c r="U232" s="1529"/>
      <c r="V232" s="1529"/>
      <c r="W232" s="1529"/>
      <c r="X232" s="1529"/>
      <c r="Y232" s="1529"/>
      <c r="Z232" s="1529"/>
      <c r="AA232" s="1529"/>
      <c r="AB232" s="1529"/>
      <c r="AC232" s="1529"/>
      <c r="AD232" s="1529"/>
      <c r="AE232" s="1409"/>
      <c r="AF232" s="1529"/>
      <c r="AG232" s="1529"/>
    </row>
    <row r="233" spans="1:33" ht="15.75" hidden="1" thickBot="1">
      <c r="A233" s="1530"/>
      <c r="B233" s="1532"/>
      <c r="C233" s="1530"/>
      <c r="D233" s="1410" t="s">
        <v>2359</v>
      </c>
      <c r="E233" s="1528" t="s">
        <v>2129</v>
      </c>
      <c r="F233" s="1528" t="s">
        <v>2129</v>
      </c>
      <c r="G233" s="1528" t="s">
        <v>2129</v>
      </c>
      <c r="H233" s="1528" t="s">
        <v>2129</v>
      </c>
      <c r="I233" s="1528" t="s">
        <v>2129</v>
      </c>
      <c r="J233" s="1528" t="s">
        <v>2129</v>
      </c>
      <c r="K233" s="1528" t="s">
        <v>2129</v>
      </c>
      <c r="L233" s="1528" t="s">
        <v>2286</v>
      </c>
      <c r="M233" s="1528">
        <v>166</v>
      </c>
      <c r="N233" s="1528">
        <v>250</v>
      </c>
      <c r="O233" s="1528">
        <v>250</v>
      </c>
      <c r="P233" s="1528"/>
      <c r="Q233" s="1528"/>
      <c r="R233" s="1528"/>
      <c r="S233" s="1528" t="s">
        <v>2129</v>
      </c>
      <c r="T233" s="1528" t="s">
        <v>2129</v>
      </c>
      <c r="U233" s="1528" t="s">
        <v>2129</v>
      </c>
      <c r="V233" s="1528" t="s">
        <v>2129</v>
      </c>
      <c r="W233" s="1528" t="s">
        <v>2129</v>
      </c>
      <c r="X233" s="1528" t="s">
        <v>2129</v>
      </c>
      <c r="Y233" s="1528" t="s">
        <v>2129</v>
      </c>
      <c r="Z233" s="1528" t="s">
        <v>2129</v>
      </c>
      <c r="AA233" s="1528" t="s">
        <v>2129</v>
      </c>
      <c r="AB233" s="1528" t="s">
        <v>2129</v>
      </c>
      <c r="AC233" s="1528" t="s">
        <v>2129</v>
      </c>
      <c r="AD233" s="1528" t="s">
        <v>2129</v>
      </c>
      <c r="AE233" s="1528" t="s">
        <v>2129</v>
      </c>
      <c r="AF233" s="1528" t="s">
        <v>2129</v>
      </c>
      <c r="AG233" s="1528" t="s">
        <v>2129</v>
      </c>
    </row>
    <row r="234" spans="1:33" ht="142.5" hidden="1" thickBot="1">
      <c r="A234" s="1530"/>
      <c r="B234" s="1532"/>
      <c r="C234" s="1530"/>
      <c r="D234" s="1409" t="s">
        <v>2360</v>
      </c>
      <c r="E234" s="1529"/>
      <c r="F234" s="1529"/>
      <c r="G234" s="1529"/>
      <c r="H234" s="1529"/>
      <c r="I234" s="1529"/>
      <c r="J234" s="1529"/>
      <c r="K234" s="1529"/>
      <c r="L234" s="1529"/>
      <c r="M234" s="1529"/>
      <c r="N234" s="1529"/>
      <c r="O234" s="1529"/>
      <c r="P234" s="1529"/>
      <c r="Q234" s="1529"/>
      <c r="R234" s="1529"/>
      <c r="S234" s="1529"/>
      <c r="T234" s="1529"/>
      <c r="U234" s="1529"/>
      <c r="V234" s="1529"/>
      <c r="W234" s="1529"/>
      <c r="X234" s="1529"/>
      <c r="Y234" s="1529"/>
      <c r="Z234" s="1529"/>
      <c r="AA234" s="1529"/>
      <c r="AB234" s="1529"/>
      <c r="AC234" s="1529"/>
      <c r="AD234" s="1529"/>
      <c r="AE234" s="1529"/>
      <c r="AF234" s="1529"/>
      <c r="AG234" s="1529"/>
    </row>
    <row r="235" spans="1:33" ht="15.75" hidden="1" thickBot="1">
      <c r="A235" s="1530"/>
      <c r="B235" s="1532"/>
      <c r="C235" s="1530"/>
      <c r="D235" s="1410" t="s">
        <v>2359</v>
      </c>
      <c r="E235" s="1528" t="s">
        <v>2129</v>
      </c>
      <c r="F235" s="1528" t="s">
        <v>2129</v>
      </c>
      <c r="G235" s="1528" t="s">
        <v>2129</v>
      </c>
      <c r="H235" s="1528" t="s">
        <v>2129</v>
      </c>
      <c r="I235" s="1528" t="s">
        <v>2129</v>
      </c>
      <c r="J235" s="1528" t="s">
        <v>2129</v>
      </c>
      <c r="K235" s="1528" t="s">
        <v>2129</v>
      </c>
      <c r="L235" s="1528" t="s">
        <v>2286</v>
      </c>
      <c r="M235" s="1528">
        <v>166</v>
      </c>
      <c r="N235" s="1528">
        <v>220</v>
      </c>
      <c r="O235" s="1528">
        <v>220</v>
      </c>
      <c r="P235" s="1528"/>
      <c r="Q235" s="1528"/>
      <c r="R235" s="1528"/>
      <c r="S235" s="1528" t="s">
        <v>2129</v>
      </c>
      <c r="T235" s="1528" t="s">
        <v>2129</v>
      </c>
      <c r="U235" s="1528" t="s">
        <v>2129</v>
      </c>
      <c r="V235" s="1528" t="s">
        <v>2129</v>
      </c>
      <c r="W235" s="1528" t="s">
        <v>2129</v>
      </c>
      <c r="X235" s="1528" t="s">
        <v>2129</v>
      </c>
      <c r="Y235" s="1528" t="s">
        <v>2129</v>
      </c>
      <c r="Z235" s="1528" t="s">
        <v>2129</v>
      </c>
      <c r="AA235" s="1528" t="s">
        <v>2129</v>
      </c>
      <c r="AB235" s="1528" t="s">
        <v>2129</v>
      </c>
      <c r="AC235" s="1528" t="s">
        <v>2129</v>
      </c>
      <c r="AD235" s="1528" t="s">
        <v>2129</v>
      </c>
      <c r="AE235" s="1528" t="s">
        <v>2129</v>
      </c>
      <c r="AF235" s="1528" t="s">
        <v>2129</v>
      </c>
      <c r="AG235" s="1528" t="s">
        <v>2129</v>
      </c>
    </row>
    <row r="236" spans="1:33" ht="109.5" hidden="1" thickBot="1">
      <c r="A236" s="1529"/>
      <c r="B236" s="1533"/>
      <c r="C236" s="1529"/>
      <c r="D236" s="1409" t="s">
        <v>2361</v>
      </c>
      <c r="E236" s="1529"/>
      <c r="F236" s="1529"/>
      <c r="G236" s="1529"/>
      <c r="H236" s="1529"/>
      <c r="I236" s="1529"/>
      <c r="J236" s="1529"/>
      <c r="K236" s="1529"/>
      <c r="L236" s="1529"/>
      <c r="M236" s="1529"/>
      <c r="N236" s="1529"/>
      <c r="O236" s="1529"/>
      <c r="P236" s="1529"/>
      <c r="Q236" s="1529"/>
      <c r="R236" s="1529"/>
      <c r="S236" s="1529"/>
      <c r="T236" s="1529"/>
      <c r="U236" s="1529"/>
      <c r="V236" s="1529"/>
      <c r="W236" s="1529"/>
      <c r="X236" s="1529"/>
      <c r="Y236" s="1529"/>
      <c r="Z236" s="1529"/>
      <c r="AA236" s="1529"/>
      <c r="AB236" s="1529"/>
      <c r="AC236" s="1529"/>
      <c r="AD236" s="1529"/>
      <c r="AE236" s="1529"/>
      <c r="AF236" s="1529"/>
      <c r="AG236" s="1529"/>
    </row>
    <row r="237" spans="1:33" ht="60" hidden="1" thickBot="1">
      <c r="A237" s="1528">
        <v>43</v>
      </c>
      <c r="B237" s="1531">
        <v>1.7224300000000002E+35</v>
      </c>
      <c r="C237" s="1528" t="s">
        <v>2362</v>
      </c>
      <c r="D237" s="1528" t="s">
        <v>2363</v>
      </c>
      <c r="E237" s="1528">
        <v>0</v>
      </c>
      <c r="F237" s="1528"/>
      <c r="G237" s="1528">
        <v>0</v>
      </c>
      <c r="H237" s="1528">
        <v>0</v>
      </c>
      <c r="I237" s="1528">
        <v>0</v>
      </c>
      <c r="J237" s="1528">
        <v>0</v>
      </c>
      <c r="K237" s="1528">
        <v>0</v>
      </c>
      <c r="L237" s="1528" t="s">
        <v>2129</v>
      </c>
      <c r="M237" s="1528" t="s">
        <v>2129</v>
      </c>
      <c r="N237" s="1528" t="s">
        <v>2129</v>
      </c>
      <c r="O237" s="1528" t="s">
        <v>2129</v>
      </c>
      <c r="P237" s="1528" t="s">
        <v>2129</v>
      </c>
      <c r="Q237" s="1528" t="s">
        <v>2129</v>
      </c>
      <c r="R237" s="1528" t="s">
        <v>2129</v>
      </c>
      <c r="S237" s="1410" t="s">
        <v>2149</v>
      </c>
      <c r="T237" s="1528"/>
      <c r="U237" s="1528"/>
      <c r="V237" s="1528">
        <v>5.2016999999999998</v>
      </c>
      <c r="W237" s="1528">
        <v>12.201700000000001</v>
      </c>
      <c r="X237" s="1528" t="s">
        <v>2281</v>
      </c>
      <c r="Y237" s="1528" t="s">
        <v>2132</v>
      </c>
      <c r="Z237" s="1528" t="s">
        <v>2282</v>
      </c>
      <c r="AA237" s="1528" t="s">
        <v>2346</v>
      </c>
      <c r="AB237" s="1528"/>
      <c r="AC237" s="1528"/>
      <c r="AD237" s="1528"/>
      <c r="AE237" s="1410" t="s">
        <v>2198</v>
      </c>
      <c r="AF237" s="1528"/>
      <c r="AG237" s="1528" t="s">
        <v>2283</v>
      </c>
    </row>
    <row r="238" spans="1:33" ht="84.75" hidden="1" thickBot="1">
      <c r="A238" s="1530"/>
      <c r="B238" s="1532"/>
      <c r="C238" s="1530"/>
      <c r="D238" s="1530"/>
      <c r="E238" s="1530"/>
      <c r="F238" s="1530"/>
      <c r="G238" s="1530"/>
      <c r="H238" s="1530"/>
      <c r="I238" s="1530"/>
      <c r="J238" s="1530"/>
      <c r="K238" s="1530"/>
      <c r="L238" s="1530"/>
      <c r="M238" s="1530"/>
      <c r="N238" s="1530"/>
      <c r="O238" s="1530"/>
      <c r="P238" s="1530"/>
      <c r="Q238" s="1530"/>
      <c r="R238" s="1530"/>
      <c r="S238" s="1410" t="s">
        <v>2325</v>
      </c>
      <c r="T238" s="1530"/>
      <c r="U238" s="1530"/>
      <c r="V238" s="1530"/>
      <c r="W238" s="1530"/>
      <c r="X238" s="1530"/>
      <c r="Y238" s="1530"/>
      <c r="Z238" s="1530"/>
      <c r="AA238" s="1530"/>
      <c r="AB238" s="1530"/>
      <c r="AC238" s="1530"/>
      <c r="AD238" s="1530"/>
      <c r="AE238" s="1410" t="s">
        <v>2200</v>
      </c>
      <c r="AF238" s="1530"/>
      <c r="AG238" s="1530"/>
    </row>
    <row r="239" spans="1:33" ht="15.75" hidden="1" thickBot="1">
      <c r="A239" s="1530"/>
      <c r="B239" s="1532"/>
      <c r="C239" s="1530"/>
      <c r="D239" s="1529"/>
      <c r="E239" s="1529"/>
      <c r="F239" s="1529"/>
      <c r="G239" s="1529"/>
      <c r="H239" s="1529"/>
      <c r="I239" s="1529"/>
      <c r="J239" s="1529"/>
      <c r="K239" s="1529"/>
      <c r="L239" s="1529"/>
      <c r="M239" s="1529"/>
      <c r="N239" s="1529"/>
      <c r="O239" s="1529"/>
      <c r="P239" s="1529"/>
      <c r="Q239" s="1529"/>
      <c r="R239" s="1529"/>
      <c r="S239" s="1409"/>
      <c r="T239" s="1529"/>
      <c r="U239" s="1529"/>
      <c r="V239" s="1529"/>
      <c r="W239" s="1529"/>
      <c r="X239" s="1529"/>
      <c r="Y239" s="1529"/>
      <c r="Z239" s="1529"/>
      <c r="AA239" s="1529"/>
      <c r="AB239" s="1529"/>
      <c r="AC239" s="1529"/>
      <c r="AD239" s="1529"/>
      <c r="AE239" s="1409"/>
      <c r="AF239" s="1529"/>
      <c r="AG239" s="1529"/>
    </row>
    <row r="240" spans="1:33" ht="18.75" hidden="1" thickBot="1">
      <c r="A240" s="1530"/>
      <c r="B240" s="1532"/>
      <c r="C240" s="1530"/>
      <c r="D240" s="1410" t="s">
        <v>2364</v>
      </c>
      <c r="E240" s="1528" t="s">
        <v>2129</v>
      </c>
      <c r="F240" s="1528" t="s">
        <v>2129</v>
      </c>
      <c r="G240" s="1528" t="s">
        <v>2129</v>
      </c>
      <c r="H240" s="1528" t="s">
        <v>2129</v>
      </c>
      <c r="I240" s="1528" t="s">
        <v>2129</v>
      </c>
      <c r="J240" s="1528" t="s">
        <v>2129</v>
      </c>
      <c r="K240" s="1528" t="s">
        <v>2129</v>
      </c>
      <c r="L240" s="1528" t="s">
        <v>2286</v>
      </c>
      <c r="M240" s="1528">
        <v>166</v>
      </c>
      <c r="N240" s="1528">
        <v>350</v>
      </c>
      <c r="O240" s="1528">
        <v>350</v>
      </c>
      <c r="P240" s="1528"/>
      <c r="Q240" s="1528"/>
      <c r="R240" s="1528"/>
      <c r="S240" s="1528" t="s">
        <v>2129</v>
      </c>
      <c r="T240" s="1528" t="s">
        <v>2129</v>
      </c>
      <c r="U240" s="1528" t="s">
        <v>2129</v>
      </c>
      <c r="V240" s="1528" t="s">
        <v>2129</v>
      </c>
      <c r="W240" s="1528" t="s">
        <v>2129</v>
      </c>
      <c r="X240" s="1528" t="s">
        <v>2129</v>
      </c>
      <c r="Y240" s="1528" t="s">
        <v>2129</v>
      </c>
      <c r="Z240" s="1528" t="s">
        <v>2129</v>
      </c>
      <c r="AA240" s="1528" t="s">
        <v>2129</v>
      </c>
      <c r="AB240" s="1528" t="s">
        <v>2129</v>
      </c>
      <c r="AC240" s="1528" t="s">
        <v>2129</v>
      </c>
      <c r="AD240" s="1528" t="s">
        <v>2129</v>
      </c>
      <c r="AE240" s="1528" t="s">
        <v>2129</v>
      </c>
      <c r="AF240" s="1528" t="s">
        <v>2129</v>
      </c>
      <c r="AG240" s="1528" t="s">
        <v>2129</v>
      </c>
    </row>
    <row r="241" spans="1:33" ht="68.25" hidden="1" thickBot="1">
      <c r="A241" s="1529"/>
      <c r="B241" s="1533"/>
      <c r="C241" s="1529"/>
      <c r="D241" s="1409" t="s">
        <v>2365</v>
      </c>
      <c r="E241" s="1529"/>
      <c r="F241" s="1529"/>
      <c r="G241" s="1529"/>
      <c r="H241" s="1529"/>
      <c r="I241" s="1529"/>
      <c r="J241" s="1529"/>
      <c r="K241" s="1529"/>
      <c r="L241" s="1529"/>
      <c r="M241" s="1529"/>
      <c r="N241" s="1529"/>
      <c r="O241" s="1529"/>
      <c r="P241" s="1529"/>
      <c r="Q241" s="1529"/>
      <c r="R241" s="1529"/>
      <c r="S241" s="1529"/>
      <c r="T241" s="1529"/>
      <c r="U241" s="1529"/>
      <c r="V241" s="1529"/>
      <c r="W241" s="1529"/>
      <c r="X241" s="1529"/>
      <c r="Y241" s="1529"/>
      <c r="Z241" s="1529"/>
      <c r="AA241" s="1529"/>
      <c r="AB241" s="1529"/>
      <c r="AC241" s="1529"/>
      <c r="AD241" s="1529"/>
      <c r="AE241" s="1529"/>
      <c r="AF241" s="1529"/>
      <c r="AG241" s="1529"/>
    </row>
    <row r="242" spans="1:33" ht="60" hidden="1" thickBot="1">
      <c r="A242" s="1528">
        <v>44</v>
      </c>
      <c r="B242" s="1531">
        <v>1.7224300000000002E+35</v>
      </c>
      <c r="C242" s="1528" t="s">
        <v>2366</v>
      </c>
      <c r="D242" s="1528" t="s">
        <v>2367</v>
      </c>
      <c r="E242" s="1528">
        <v>0</v>
      </c>
      <c r="F242" s="1528"/>
      <c r="G242" s="1528">
        <v>0</v>
      </c>
      <c r="H242" s="1528">
        <v>0</v>
      </c>
      <c r="I242" s="1528">
        <v>0</v>
      </c>
      <c r="J242" s="1528">
        <v>0</v>
      </c>
      <c r="K242" s="1528">
        <v>0</v>
      </c>
      <c r="L242" s="1528" t="s">
        <v>2129</v>
      </c>
      <c r="M242" s="1528" t="s">
        <v>2129</v>
      </c>
      <c r="N242" s="1528" t="s">
        <v>2129</v>
      </c>
      <c r="O242" s="1528" t="s">
        <v>2129</v>
      </c>
      <c r="P242" s="1528" t="s">
        <v>2129</v>
      </c>
      <c r="Q242" s="1528" t="s">
        <v>2129</v>
      </c>
      <c r="R242" s="1528" t="s">
        <v>2129</v>
      </c>
      <c r="S242" s="1410" t="s">
        <v>2149</v>
      </c>
      <c r="T242" s="1528"/>
      <c r="U242" s="1528"/>
      <c r="V242" s="1528">
        <v>1.2017</v>
      </c>
      <c r="W242" s="1528">
        <v>6.2016999999999998</v>
      </c>
      <c r="X242" s="1528" t="s">
        <v>2281</v>
      </c>
      <c r="Y242" s="1528" t="s">
        <v>2132</v>
      </c>
      <c r="Z242" s="1528" t="s">
        <v>2282</v>
      </c>
      <c r="AA242" s="1528" t="s">
        <v>2346</v>
      </c>
      <c r="AB242" s="1528"/>
      <c r="AC242" s="1528"/>
      <c r="AD242" s="1528"/>
      <c r="AE242" s="1410" t="s">
        <v>2198</v>
      </c>
      <c r="AF242" s="1528"/>
      <c r="AG242" s="1528" t="s">
        <v>2283</v>
      </c>
    </row>
    <row r="243" spans="1:33" ht="93" hidden="1" thickBot="1">
      <c r="A243" s="1530"/>
      <c r="B243" s="1532"/>
      <c r="C243" s="1530"/>
      <c r="D243" s="1530"/>
      <c r="E243" s="1530"/>
      <c r="F243" s="1530"/>
      <c r="G243" s="1530"/>
      <c r="H243" s="1530"/>
      <c r="I243" s="1530"/>
      <c r="J243" s="1530"/>
      <c r="K243" s="1530"/>
      <c r="L243" s="1530"/>
      <c r="M243" s="1530"/>
      <c r="N243" s="1530"/>
      <c r="O243" s="1530"/>
      <c r="P243" s="1530"/>
      <c r="Q243" s="1530"/>
      <c r="R243" s="1530"/>
      <c r="S243" s="1410" t="s">
        <v>2368</v>
      </c>
      <c r="T243" s="1530"/>
      <c r="U243" s="1530"/>
      <c r="V243" s="1530"/>
      <c r="W243" s="1530"/>
      <c r="X243" s="1530"/>
      <c r="Y243" s="1530"/>
      <c r="Z243" s="1530"/>
      <c r="AA243" s="1530"/>
      <c r="AB243" s="1530"/>
      <c r="AC243" s="1530"/>
      <c r="AD243" s="1530"/>
      <c r="AE243" s="1410" t="s">
        <v>2200</v>
      </c>
      <c r="AF243" s="1530"/>
      <c r="AG243" s="1530"/>
    </row>
    <row r="244" spans="1:33" ht="15.75" hidden="1" thickBot="1">
      <c r="A244" s="1530"/>
      <c r="B244" s="1532"/>
      <c r="C244" s="1530"/>
      <c r="D244" s="1529"/>
      <c r="E244" s="1529"/>
      <c r="F244" s="1529"/>
      <c r="G244" s="1529"/>
      <c r="H244" s="1529"/>
      <c r="I244" s="1529"/>
      <c r="J244" s="1529"/>
      <c r="K244" s="1529"/>
      <c r="L244" s="1529"/>
      <c r="M244" s="1529"/>
      <c r="N244" s="1529"/>
      <c r="O244" s="1529"/>
      <c r="P244" s="1529"/>
      <c r="Q244" s="1529"/>
      <c r="R244" s="1529"/>
      <c r="S244" s="1409"/>
      <c r="T244" s="1529"/>
      <c r="U244" s="1529"/>
      <c r="V244" s="1529"/>
      <c r="W244" s="1529"/>
      <c r="X244" s="1529"/>
      <c r="Y244" s="1529"/>
      <c r="Z244" s="1529"/>
      <c r="AA244" s="1529"/>
      <c r="AB244" s="1529"/>
      <c r="AC244" s="1529"/>
      <c r="AD244" s="1529"/>
      <c r="AE244" s="1409"/>
      <c r="AF244" s="1529"/>
      <c r="AG244" s="1529"/>
    </row>
    <row r="245" spans="1:33" ht="27" hidden="1" thickBot="1">
      <c r="A245" s="1530"/>
      <c r="B245" s="1532"/>
      <c r="C245" s="1530"/>
      <c r="D245" s="1410" t="s">
        <v>2369</v>
      </c>
      <c r="E245" s="1528" t="s">
        <v>2129</v>
      </c>
      <c r="F245" s="1528" t="s">
        <v>2129</v>
      </c>
      <c r="G245" s="1528" t="s">
        <v>2129</v>
      </c>
      <c r="H245" s="1528" t="s">
        <v>2129</v>
      </c>
      <c r="I245" s="1528" t="s">
        <v>2129</v>
      </c>
      <c r="J245" s="1528" t="s">
        <v>2129</v>
      </c>
      <c r="K245" s="1528" t="s">
        <v>2129</v>
      </c>
      <c r="L245" s="1528" t="s">
        <v>2286</v>
      </c>
      <c r="M245" s="1528">
        <v>166</v>
      </c>
      <c r="N245" s="1528">
        <v>154</v>
      </c>
      <c r="O245" s="1528">
        <v>154</v>
      </c>
      <c r="P245" s="1528"/>
      <c r="Q245" s="1528"/>
      <c r="R245" s="1528"/>
      <c r="S245" s="1528" t="s">
        <v>2129</v>
      </c>
      <c r="T245" s="1528" t="s">
        <v>2129</v>
      </c>
      <c r="U245" s="1528" t="s">
        <v>2129</v>
      </c>
      <c r="V245" s="1528" t="s">
        <v>2129</v>
      </c>
      <c r="W245" s="1528" t="s">
        <v>2129</v>
      </c>
      <c r="X245" s="1528" t="s">
        <v>2129</v>
      </c>
      <c r="Y245" s="1528" t="s">
        <v>2129</v>
      </c>
      <c r="Z245" s="1528" t="s">
        <v>2129</v>
      </c>
      <c r="AA245" s="1528" t="s">
        <v>2129</v>
      </c>
      <c r="AB245" s="1528" t="s">
        <v>2129</v>
      </c>
      <c r="AC245" s="1528" t="s">
        <v>2129</v>
      </c>
      <c r="AD245" s="1528" t="s">
        <v>2129</v>
      </c>
      <c r="AE245" s="1528" t="s">
        <v>2129</v>
      </c>
      <c r="AF245" s="1528" t="s">
        <v>2129</v>
      </c>
      <c r="AG245" s="1528" t="s">
        <v>2129</v>
      </c>
    </row>
    <row r="246" spans="1:33" ht="84.75" hidden="1" thickBot="1">
      <c r="A246" s="1530"/>
      <c r="B246" s="1532"/>
      <c r="C246" s="1530"/>
      <c r="D246" s="1409" t="s">
        <v>2370</v>
      </c>
      <c r="E246" s="1529"/>
      <c r="F246" s="1529"/>
      <c r="G246" s="1529"/>
      <c r="H246" s="1529"/>
      <c r="I246" s="1529"/>
      <c r="J246" s="1529"/>
      <c r="K246" s="1529"/>
      <c r="L246" s="1529"/>
      <c r="M246" s="1529"/>
      <c r="N246" s="1529"/>
      <c r="O246" s="1529"/>
      <c r="P246" s="1529"/>
      <c r="Q246" s="1529"/>
      <c r="R246" s="1529"/>
      <c r="S246" s="1529"/>
      <c r="T246" s="1529"/>
      <c r="U246" s="1529"/>
      <c r="V246" s="1529"/>
      <c r="W246" s="1529"/>
      <c r="X246" s="1529"/>
      <c r="Y246" s="1529"/>
      <c r="Z246" s="1529"/>
      <c r="AA246" s="1529"/>
      <c r="AB246" s="1529"/>
      <c r="AC246" s="1529"/>
      <c r="AD246" s="1529"/>
      <c r="AE246" s="1529"/>
      <c r="AF246" s="1529"/>
      <c r="AG246" s="1529"/>
    </row>
    <row r="247" spans="1:33" ht="27" hidden="1" thickBot="1">
      <c r="A247" s="1530"/>
      <c r="B247" s="1532"/>
      <c r="C247" s="1530"/>
      <c r="D247" s="1410" t="s">
        <v>2371</v>
      </c>
      <c r="E247" s="1528" t="s">
        <v>2129</v>
      </c>
      <c r="F247" s="1528" t="s">
        <v>2129</v>
      </c>
      <c r="G247" s="1528" t="s">
        <v>2129</v>
      </c>
      <c r="H247" s="1528" t="s">
        <v>2129</v>
      </c>
      <c r="I247" s="1528" t="s">
        <v>2129</v>
      </c>
      <c r="J247" s="1528" t="s">
        <v>2129</v>
      </c>
      <c r="K247" s="1528" t="s">
        <v>2129</v>
      </c>
      <c r="L247" s="1528" t="s">
        <v>2286</v>
      </c>
      <c r="M247" s="1528">
        <v>166</v>
      </c>
      <c r="N247" s="1528">
        <v>178</v>
      </c>
      <c r="O247" s="1528">
        <v>178</v>
      </c>
      <c r="P247" s="1528"/>
      <c r="Q247" s="1528"/>
      <c r="R247" s="1528"/>
      <c r="S247" s="1528" t="s">
        <v>2129</v>
      </c>
      <c r="T247" s="1528" t="s">
        <v>2129</v>
      </c>
      <c r="U247" s="1528" t="s">
        <v>2129</v>
      </c>
      <c r="V247" s="1528" t="s">
        <v>2129</v>
      </c>
      <c r="W247" s="1528" t="s">
        <v>2129</v>
      </c>
      <c r="X247" s="1528" t="s">
        <v>2129</v>
      </c>
      <c r="Y247" s="1528" t="s">
        <v>2129</v>
      </c>
      <c r="Z247" s="1528" t="s">
        <v>2129</v>
      </c>
      <c r="AA247" s="1528" t="s">
        <v>2129</v>
      </c>
      <c r="AB247" s="1528" t="s">
        <v>2129</v>
      </c>
      <c r="AC247" s="1528" t="s">
        <v>2129</v>
      </c>
      <c r="AD247" s="1528" t="s">
        <v>2129</v>
      </c>
      <c r="AE247" s="1528" t="s">
        <v>2129</v>
      </c>
      <c r="AF247" s="1528" t="s">
        <v>2129</v>
      </c>
      <c r="AG247" s="1528" t="s">
        <v>2129</v>
      </c>
    </row>
    <row r="248" spans="1:33" ht="68.25" hidden="1" thickBot="1">
      <c r="A248" s="1530"/>
      <c r="B248" s="1532"/>
      <c r="C248" s="1530"/>
      <c r="D248" s="1409" t="s">
        <v>2372</v>
      </c>
      <c r="E248" s="1529"/>
      <c r="F248" s="1529"/>
      <c r="G248" s="1529"/>
      <c r="H248" s="1529"/>
      <c r="I248" s="1529"/>
      <c r="J248" s="1529"/>
      <c r="K248" s="1529"/>
      <c r="L248" s="1529"/>
      <c r="M248" s="1529"/>
      <c r="N248" s="1529"/>
      <c r="O248" s="1529"/>
      <c r="P248" s="1529"/>
      <c r="Q248" s="1529"/>
      <c r="R248" s="1529"/>
      <c r="S248" s="1529"/>
      <c r="T248" s="1529"/>
      <c r="U248" s="1529"/>
      <c r="V248" s="1529"/>
      <c r="W248" s="1529"/>
      <c r="X248" s="1529"/>
      <c r="Y248" s="1529"/>
      <c r="Z248" s="1529"/>
      <c r="AA248" s="1529"/>
      <c r="AB248" s="1529"/>
      <c r="AC248" s="1529"/>
      <c r="AD248" s="1529"/>
      <c r="AE248" s="1529"/>
      <c r="AF248" s="1529"/>
      <c r="AG248" s="1529"/>
    </row>
    <row r="249" spans="1:33" ht="27" hidden="1" thickBot="1">
      <c r="A249" s="1530"/>
      <c r="B249" s="1532"/>
      <c r="C249" s="1530"/>
      <c r="D249" s="1410" t="s">
        <v>2373</v>
      </c>
      <c r="E249" s="1528" t="s">
        <v>2129</v>
      </c>
      <c r="F249" s="1528" t="s">
        <v>2129</v>
      </c>
      <c r="G249" s="1528" t="s">
        <v>2129</v>
      </c>
      <c r="H249" s="1528" t="s">
        <v>2129</v>
      </c>
      <c r="I249" s="1528" t="s">
        <v>2129</v>
      </c>
      <c r="J249" s="1528" t="s">
        <v>2129</v>
      </c>
      <c r="K249" s="1528" t="s">
        <v>2129</v>
      </c>
      <c r="L249" s="1528" t="s">
        <v>2286</v>
      </c>
      <c r="M249" s="1528">
        <v>166</v>
      </c>
      <c r="N249" s="1528">
        <v>63</v>
      </c>
      <c r="O249" s="1528">
        <v>63</v>
      </c>
      <c r="P249" s="1528"/>
      <c r="Q249" s="1528"/>
      <c r="R249" s="1528"/>
      <c r="S249" s="1528" t="s">
        <v>2129</v>
      </c>
      <c r="T249" s="1528" t="s">
        <v>2129</v>
      </c>
      <c r="U249" s="1528" t="s">
        <v>2129</v>
      </c>
      <c r="V249" s="1528" t="s">
        <v>2129</v>
      </c>
      <c r="W249" s="1528" t="s">
        <v>2129</v>
      </c>
      <c r="X249" s="1528" t="s">
        <v>2129</v>
      </c>
      <c r="Y249" s="1528" t="s">
        <v>2129</v>
      </c>
      <c r="Z249" s="1528" t="s">
        <v>2129</v>
      </c>
      <c r="AA249" s="1528" t="s">
        <v>2129</v>
      </c>
      <c r="AB249" s="1528" t="s">
        <v>2129</v>
      </c>
      <c r="AC249" s="1528" t="s">
        <v>2129</v>
      </c>
      <c r="AD249" s="1528" t="s">
        <v>2129</v>
      </c>
      <c r="AE249" s="1528" t="s">
        <v>2129</v>
      </c>
      <c r="AF249" s="1528" t="s">
        <v>2129</v>
      </c>
      <c r="AG249" s="1528" t="s">
        <v>2129</v>
      </c>
    </row>
    <row r="250" spans="1:33" ht="93" hidden="1" thickBot="1">
      <c r="A250" s="1530"/>
      <c r="B250" s="1532"/>
      <c r="C250" s="1530"/>
      <c r="D250" s="1409" t="s">
        <v>2374</v>
      </c>
      <c r="E250" s="1529"/>
      <c r="F250" s="1529"/>
      <c r="G250" s="1529"/>
      <c r="H250" s="1529"/>
      <c r="I250" s="1529"/>
      <c r="J250" s="1529"/>
      <c r="K250" s="1529"/>
      <c r="L250" s="1529"/>
      <c r="M250" s="1529"/>
      <c r="N250" s="1529"/>
      <c r="O250" s="1529"/>
      <c r="P250" s="1529"/>
      <c r="Q250" s="1529"/>
      <c r="R250" s="1529"/>
      <c r="S250" s="1529"/>
      <c r="T250" s="1529"/>
      <c r="U250" s="1529"/>
      <c r="V250" s="1529"/>
      <c r="W250" s="1529"/>
      <c r="X250" s="1529"/>
      <c r="Y250" s="1529"/>
      <c r="Z250" s="1529"/>
      <c r="AA250" s="1529"/>
      <c r="AB250" s="1529"/>
      <c r="AC250" s="1529"/>
      <c r="AD250" s="1529"/>
      <c r="AE250" s="1529"/>
      <c r="AF250" s="1529"/>
      <c r="AG250" s="1529"/>
    </row>
    <row r="251" spans="1:33" ht="27" hidden="1" thickBot="1">
      <c r="A251" s="1530"/>
      <c r="B251" s="1532"/>
      <c r="C251" s="1530"/>
      <c r="D251" s="1410" t="s">
        <v>2375</v>
      </c>
      <c r="E251" s="1528" t="s">
        <v>2129</v>
      </c>
      <c r="F251" s="1528" t="s">
        <v>2129</v>
      </c>
      <c r="G251" s="1528" t="s">
        <v>2129</v>
      </c>
      <c r="H251" s="1528" t="s">
        <v>2129</v>
      </c>
      <c r="I251" s="1528" t="s">
        <v>2129</v>
      </c>
      <c r="J251" s="1528" t="s">
        <v>2129</v>
      </c>
      <c r="K251" s="1528" t="s">
        <v>2129</v>
      </c>
      <c r="L251" s="1528" t="s">
        <v>2286</v>
      </c>
      <c r="M251" s="1528">
        <v>166</v>
      </c>
      <c r="N251" s="1528">
        <v>154</v>
      </c>
      <c r="O251" s="1528">
        <v>154</v>
      </c>
      <c r="P251" s="1528"/>
      <c r="Q251" s="1528"/>
      <c r="R251" s="1528"/>
      <c r="S251" s="1528" t="s">
        <v>2129</v>
      </c>
      <c r="T251" s="1528" t="s">
        <v>2129</v>
      </c>
      <c r="U251" s="1528" t="s">
        <v>2129</v>
      </c>
      <c r="V251" s="1528" t="s">
        <v>2129</v>
      </c>
      <c r="W251" s="1528" t="s">
        <v>2129</v>
      </c>
      <c r="X251" s="1528" t="s">
        <v>2129</v>
      </c>
      <c r="Y251" s="1528" t="s">
        <v>2129</v>
      </c>
      <c r="Z251" s="1528" t="s">
        <v>2129</v>
      </c>
      <c r="AA251" s="1528" t="s">
        <v>2129</v>
      </c>
      <c r="AB251" s="1528" t="s">
        <v>2129</v>
      </c>
      <c r="AC251" s="1528" t="s">
        <v>2129</v>
      </c>
      <c r="AD251" s="1528" t="s">
        <v>2129</v>
      </c>
      <c r="AE251" s="1528" t="s">
        <v>2129</v>
      </c>
      <c r="AF251" s="1528" t="s">
        <v>2129</v>
      </c>
      <c r="AG251" s="1528" t="s">
        <v>2129</v>
      </c>
    </row>
    <row r="252" spans="1:33" ht="76.5" hidden="1" thickBot="1">
      <c r="A252" s="1529"/>
      <c r="B252" s="1533"/>
      <c r="C252" s="1529"/>
      <c r="D252" s="1409" t="s">
        <v>2376</v>
      </c>
      <c r="E252" s="1529"/>
      <c r="F252" s="1529"/>
      <c r="G252" s="1529"/>
      <c r="H252" s="1529"/>
      <c r="I252" s="1529"/>
      <c r="J252" s="1529"/>
      <c r="K252" s="1529"/>
      <c r="L252" s="1529"/>
      <c r="M252" s="1529"/>
      <c r="N252" s="1529"/>
      <c r="O252" s="1529"/>
      <c r="P252" s="1529"/>
      <c r="Q252" s="1529"/>
      <c r="R252" s="1529"/>
      <c r="S252" s="1529"/>
      <c r="T252" s="1529"/>
      <c r="U252" s="1529"/>
      <c r="V252" s="1529"/>
      <c r="W252" s="1529"/>
      <c r="X252" s="1529"/>
      <c r="Y252" s="1529"/>
      <c r="Z252" s="1529"/>
      <c r="AA252" s="1529"/>
      <c r="AB252" s="1529"/>
      <c r="AC252" s="1529"/>
      <c r="AD252" s="1529"/>
      <c r="AE252" s="1529"/>
      <c r="AF252" s="1529"/>
      <c r="AG252" s="1529"/>
    </row>
    <row r="253" spans="1:33" ht="60" hidden="1" thickBot="1">
      <c r="A253" s="1528">
        <v>45</v>
      </c>
      <c r="B253" s="1531">
        <v>1.7224300000000002E+35</v>
      </c>
      <c r="C253" s="1528" t="s">
        <v>2377</v>
      </c>
      <c r="D253" s="1528" t="s">
        <v>2378</v>
      </c>
      <c r="E253" s="1528">
        <v>176095.65</v>
      </c>
      <c r="F253" s="1528"/>
      <c r="G253" s="1528">
        <v>176095.65</v>
      </c>
      <c r="H253" s="1528">
        <v>176095.65</v>
      </c>
      <c r="I253" s="1528">
        <v>0</v>
      </c>
      <c r="J253" s="1528">
        <v>0</v>
      </c>
      <c r="K253" s="1528">
        <v>0</v>
      </c>
      <c r="L253" s="1528" t="s">
        <v>2129</v>
      </c>
      <c r="M253" s="1528" t="s">
        <v>2129</v>
      </c>
      <c r="N253" s="1528" t="s">
        <v>2129</v>
      </c>
      <c r="O253" s="1528" t="s">
        <v>2129</v>
      </c>
      <c r="P253" s="1528" t="s">
        <v>2129</v>
      </c>
      <c r="Q253" s="1528" t="s">
        <v>2129</v>
      </c>
      <c r="R253" s="1528" t="s">
        <v>2129</v>
      </c>
      <c r="S253" s="1410" t="s">
        <v>2149</v>
      </c>
      <c r="T253" s="1528">
        <v>1760.96</v>
      </c>
      <c r="U253" s="1528">
        <v>8804.7800000000007</v>
      </c>
      <c r="V253" s="1528">
        <v>5.2016999999999998</v>
      </c>
      <c r="W253" s="1528">
        <v>12.201700000000001</v>
      </c>
      <c r="X253" s="1528" t="s">
        <v>2281</v>
      </c>
      <c r="Y253" s="1528" t="s">
        <v>2132</v>
      </c>
      <c r="Z253" s="1528" t="s">
        <v>2282</v>
      </c>
      <c r="AA253" s="1528"/>
      <c r="AB253" s="1528"/>
      <c r="AC253" s="1528"/>
      <c r="AD253" s="1528"/>
      <c r="AE253" s="1410" t="s">
        <v>2198</v>
      </c>
      <c r="AF253" s="1528"/>
      <c r="AG253" s="1528" t="s">
        <v>2283</v>
      </c>
    </row>
    <row r="254" spans="1:33" ht="84.75" hidden="1" thickBot="1">
      <c r="A254" s="1530"/>
      <c r="B254" s="1532"/>
      <c r="C254" s="1530"/>
      <c r="D254" s="1529"/>
      <c r="E254" s="1529"/>
      <c r="F254" s="1529"/>
      <c r="G254" s="1529"/>
      <c r="H254" s="1529"/>
      <c r="I254" s="1529"/>
      <c r="J254" s="1529"/>
      <c r="K254" s="1529"/>
      <c r="L254" s="1529"/>
      <c r="M254" s="1529"/>
      <c r="N254" s="1529"/>
      <c r="O254" s="1529"/>
      <c r="P254" s="1529"/>
      <c r="Q254" s="1529"/>
      <c r="R254" s="1529"/>
      <c r="S254" s="1409" t="s">
        <v>2239</v>
      </c>
      <c r="T254" s="1529"/>
      <c r="U254" s="1529"/>
      <c r="V254" s="1529"/>
      <c r="W254" s="1529"/>
      <c r="X254" s="1529"/>
      <c r="Y254" s="1529"/>
      <c r="Z254" s="1529"/>
      <c r="AA254" s="1529"/>
      <c r="AB254" s="1529"/>
      <c r="AC254" s="1529"/>
      <c r="AD254" s="1529"/>
      <c r="AE254" s="1409" t="s">
        <v>2200</v>
      </c>
      <c r="AF254" s="1529"/>
      <c r="AG254" s="1529"/>
    </row>
    <row r="255" spans="1:33" ht="18.75" hidden="1" thickBot="1">
      <c r="A255" s="1530"/>
      <c r="B255" s="1532"/>
      <c r="C255" s="1530"/>
      <c r="D255" s="1410" t="s">
        <v>2379</v>
      </c>
      <c r="E255" s="1528" t="s">
        <v>2129</v>
      </c>
      <c r="F255" s="1528" t="s">
        <v>2129</v>
      </c>
      <c r="G255" s="1528" t="s">
        <v>2129</v>
      </c>
      <c r="H255" s="1528" t="s">
        <v>2129</v>
      </c>
      <c r="I255" s="1528" t="s">
        <v>2129</v>
      </c>
      <c r="J255" s="1528" t="s">
        <v>2129</v>
      </c>
      <c r="K255" s="1528" t="s">
        <v>2129</v>
      </c>
      <c r="L255" s="1528" t="s">
        <v>2286</v>
      </c>
      <c r="M255" s="1528">
        <v>166</v>
      </c>
      <c r="N255" s="1528">
        <v>270</v>
      </c>
      <c r="O255" s="1528">
        <v>270</v>
      </c>
      <c r="P255" s="1528"/>
      <c r="Q255" s="1528"/>
      <c r="R255" s="1528"/>
      <c r="S255" s="1528" t="s">
        <v>2129</v>
      </c>
      <c r="T255" s="1528" t="s">
        <v>2129</v>
      </c>
      <c r="U255" s="1528" t="s">
        <v>2129</v>
      </c>
      <c r="V255" s="1528" t="s">
        <v>2129</v>
      </c>
      <c r="W255" s="1528" t="s">
        <v>2129</v>
      </c>
      <c r="X255" s="1528" t="s">
        <v>2129</v>
      </c>
      <c r="Y255" s="1528" t="s">
        <v>2129</v>
      </c>
      <c r="Z255" s="1528" t="s">
        <v>2129</v>
      </c>
      <c r="AA255" s="1528" t="s">
        <v>2129</v>
      </c>
      <c r="AB255" s="1528" t="s">
        <v>2129</v>
      </c>
      <c r="AC255" s="1528" t="s">
        <v>2129</v>
      </c>
      <c r="AD255" s="1528" t="s">
        <v>2129</v>
      </c>
      <c r="AE255" s="1528" t="s">
        <v>2129</v>
      </c>
      <c r="AF255" s="1528" t="s">
        <v>2129</v>
      </c>
      <c r="AG255" s="1528" t="s">
        <v>2129</v>
      </c>
    </row>
    <row r="256" spans="1:33" ht="126" hidden="1" thickBot="1">
      <c r="A256" s="1530"/>
      <c r="B256" s="1532"/>
      <c r="C256" s="1530"/>
      <c r="D256" s="1409" t="s">
        <v>2380</v>
      </c>
      <c r="E256" s="1529"/>
      <c r="F256" s="1529"/>
      <c r="G256" s="1529"/>
      <c r="H256" s="1529"/>
      <c r="I256" s="1529"/>
      <c r="J256" s="1529"/>
      <c r="K256" s="1529"/>
      <c r="L256" s="1529"/>
      <c r="M256" s="1529"/>
      <c r="N256" s="1529"/>
      <c r="O256" s="1529"/>
      <c r="P256" s="1529"/>
      <c r="Q256" s="1529"/>
      <c r="R256" s="1529"/>
      <c r="S256" s="1529"/>
      <c r="T256" s="1529"/>
      <c r="U256" s="1529"/>
      <c r="V256" s="1529"/>
      <c r="W256" s="1529"/>
      <c r="X256" s="1529"/>
      <c r="Y256" s="1529"/>
      <c r="Z256" s="1529"/>
      <c r="AA256" s="1529"/>
      <c r="AB256" s="1529"/>
      <c r="AC256" s="1529"/>
      <c r="AD256" s="1529"/>
      <c r="AE256" s="1529"/>
      <c r="AF256" s="1529"/>
      <c r="AG256" s="1529"/>
    </row>
    <row r="257" spans="1:33" ht="15.75" hidden="1" thickBot="1">
      <c r="A257" s="1530"/>
      <c r="B257" s="1532"/>
      <c r="C257" s="1530"/>
      <c r="D257" s="1410" t="s">
        <v>2381</v>
      </c>
      <c r="E257" s="1528" t="s">
        <v>2129</v>
      </c>
      <c r="F257" s="1528" t="s">
        <v>2129</v>
      </c>
      <c r="G257" s="1528" t="s">
        <v>2129</v>
      </c>
      <c r="H257" s="1528" t="s">
        <v>2129</v>
      </c>
      <c r="I257" s="1528" t="s">
        <v>2129</v>
      </c>
      <c r="J257" s="1528" t="s">
        <v>2129</v>
      </c>
      <c r="K257" s="1528" t="s">
        <v>2129</v>
      </c>
      <c r="L257" s="1528" t="s">
        <v>2286</v>
      </c>
      <c r="M257" s="1528">
        <v>166</v>
      </c>
      <c r="N257" s="1528">
        <v>120</v>
      </c>
      <c r="O257" s="1528">
        <v>120</v>
      </c>
      <c r="P257" s="1528"/>
      <c r="Q257" s="1528"/>
      <c r="R257" s="1528"/>
      <c r="S257" s="1528" t="s">
        <v>2129</v>
      </c>
      <c r="T257" s="1528" t="s">
        <v>2129</v>
      </c>
      <c r="U257" s="1528" t="s">
        <v>2129</v>
      </c>
      <c r="V257" s="1528" t="s">
        <v>2129</v>
      </c>
      <c r="W257" s="1528" t="s">
        <v>2129</v>
      </c>
      <c r="X257" s="1528" t="s">
        <v>2129</v>
      </c>
      <c r="Y257" s="1528" t="s">
        <v>2129</v>
      </c>
      <c r="Z257" s="1528" t="s">
        <v>2129</v>
      </c>
      <c r="AA257" s="1528" t="s">
        <v>2129</v>
      </c>
      <c r="AB257" s="1528" t="s">
        <v>2129</v>
      </c>
      <c r="AC257" s="1528" t="s">
        <v>2129</v>
      </c>
      <c r="AD257" s="1528" t="s">
        <v>2129</v>
      </c>
      <c r="AE257" s="1528" t="s">
        <v>2129</v>
      </c>
      <c r="AF257" s="1528" t="s">
        <v>2129</v>
      </c>
      <c r="AG257" s="1528" t="s">
        <v>2129</v>
      </c>
    </row>
    <row r="258" spans="1:33" ht="126" hidden="1" thickBot="1">
      <c r="A258" s="1530"/>
      <c r="B258" s="1532"/>
      <c r="C258" s="1530"/>
      <c r="D258" s="1409" t="s">
        <v>2380</v>
      </c>
      <c r="E258" s="1529"/>
      <c r="F258" s="1529"/>
      <c r="G258" s="1529"/>
      <c r="H258" s="1529"/>
      <c r="I258" s="1529"/>
      <c r="J258" s="1529"/>
      <c r="K258" s="1529"/>
      <c r="L258" s="1529"/>
      <c r="M258" s="1529"/>
      <c r="N258" s="1529"/>
      <c r="O258" s="1529"/>
      <c r="P258" s="1529"/>
      <c r="Q258" s="1529"/>
      <c r="R258" s="1529"/>
      <c r="S258" s="1529"/>
      <c r="T258" s="1529"/>
      <c r="U258" s="1529"/>
      <c r="V258" s="1529"/>
      <c r="W258" s="1529"/>
      <c r="X258" s="1529"/>
      <c r="Y258" s="1529"/>
      <c r="Z258" s="1529"/>
      <c r="AA258" s="1529"/>
      <c r="AB258" s="1529"/>
      <c r="AC258" s="1529"/>
      <c r="AD258" s="1529"/>
      <c r="AE258" s="1529"/>
      <c r="AF258" s="1529"/>
      <c r="AG258" s="1529"/>
    </row>
    <row r="259" spans="1:33" ht="15.75" hidden="1" thickBot="1">
      <c r="A259" s="1530"/>
      <c r="B259" s="1532"/>
      <c r="C259" s="1530"/>
      <c r="D259" s="1410" t="s">
        <v>2382</v>
      </c>
      <c r="E259" s="1528" t="s">
        <v>2129</v>
      </c>
      <c r="F259" s="1528" t="s">
        <v>2129</v>
      </c>
      <c r="G259" s="1528" t="s">
        <v>2129</v>
      </c>
      <c r="H259" s="1528" t="s">
        <v>2129</v>
      </c>
      <c r="I259" s="1528" t="s">
        <v>2129</v>
      </c>
      <c r="J259" s="1528" t="s">
        <v>2129</v>
      </c>
      <c r="K259" s="1528" t="s">
        <v>2129</v>
      </c>
      <c r="L259" s="1528" t="s">
        <v>2286</v>
      </c>
      <c r="M259" s="1528">
        <v>166</v>
      </c>
      <c r="N259" s="1528">
        <v>300</v>
      </c>
      <c r="O259" s="1528">
        <v>300</v>
      </c>
      <c r="P259" s="1528"/>
      <c r="Q259" s="1528"/>
      <c r="R259" s="1528"/>
      <c r="S259" s="1528" t="s">
        <v>2129</v>
      </c>
      <c r="T259" s="1528" t="s">
        <v>2129</v>
      </c>
      <c r="U259" s="1528" t="s">
        <v>2129</v>
      </c>
      <c r="V259" s="1528" t="s">
        <v>2129</v>
      </c>
      <c r="W259" s="1528" t="s">
        <v>2129</v>
      </c>
      <c r="X259" s="1528" t="s">
        <v>2129</v>
      </c>
      <c r="Y259" s="1528" t="s">
        <v>2129</v>
      </c>
      <c r="Z259" s="1528" t="s">
        <v>2129</v>
      </c>
      <c r="AA259" s="1528" t="s">
        <v>2129</v>
      </c>
      <c r="AB259" s="1528" t="s">
        <v>2129</v>
      </c>
      <c r="AC259" s="1528" t="s">
        <v>2129</v>
      </c>
      <c r="AD259" s="1528" t="s">
        <v>2129</v>
      </c>
      <c r="AE259" s="1528" t="s">
        <v>2129</v>
      </c>
      <c r="AF259" s="1528" t="s">
        <v>2129</v>
      </c>
      <c r="AG259" s="1528" t="s">
        <v>2129</v>
      </c>
    </row>
    <row r="260" spans="1:33" ht="126" hidden="1" thickBot="1">
      <c r="A260" s="1530"/>
      <c r="B260" s="1532"/>
      <c r="C260" s="1530"/>
      <c r="D260" s="1409" t="s">
        <v>2380</v>
      </c>
      <c r="E260" s="1529"/>
      <c r="F260" s="1529"/>
      <c r="G260" s="1529"/>
      <c r="H260" s="1529"/>
      <c r="I260" s="1529"/>
      <c r="J260" s="1529"/>
      <c r="K260" s="1529"/>
      <c r="L260" s="1529"/>
      <c r="M260" s="1529"/>
      <c r="N260" s="1529"/>
      <c r="O260" s="1529"/>
      <c r="P260" s="1529"/>
      <c r="Q260" s="1529"/>
      <c r="R260" s="1529"/>
      <c r="S260" s="1529"/>
      <c r="T260" s="1529"/>
      <c r="U260" s="1529"/>
      <c r="V260" s="1529"/>
      <c r="W260" s="1529"/>
      <c r="X260" s="1529"/>
      <c r="Y260" s="1529"/>
      <c r="Z260" s="1529"/>
      <c r="AA260" s="1529"/>
      <c r="AB260" s="1529"/>
      <c r="AC260" s="1529"/>
      <c r="AD260" s="1529"/>
      <c r="AE260" s="1529"/>
      <c r="AF260" s="1529"/>
      <c r="AG260" s="1529"/>
    </row>
    <row r="261" spans="1:33" ht="15.75" hidden="1" thickBot="1">
      <c r="A261" s="1530"/>
      <c r="B261" s="1532"/>
      <c r="C261" s="1530"/>
      <c r="D261" s="1410" t="s">
        <v>2383</v>
      </c>
      <c r="E261" s="1528" t="s">
        <v>2129</v>
      </c>
      <c r="F261" s="1528" t="s">
        <v>2129</v>
      </c>
      <c r="G261" s="1528" t="s">
        <v>2129</v>
      </c>
      <c r="H261" s="1528" t="s">
        <v>2129</v>
      </c>
      <c r="I261" s="1528" t="s">
        <v>2129</v>
      </c>
      <c r="J261" s="1528" t="s">
        <v>2129</v>
      </c>
      <c r="K261" s="1528" t="s">
        <v>2129</v>
      </c>
      <c r="L261" s="1528" t="s">
        <v>2286</v>
      </c>
      <c r="M261" s="1528">
        <v>166</v>
      </c>
      <c r="N261" s="1528">
        <v>15</v>
      </c>
      <c r="O261" s="1528">
        <v>15</v>
      </c>
      <c r="P261" s="1528"/>
      <c r="Q261" s="1528"/>
      <c r="R261" s="1528"/>
      <c r="S261" s="1528" t="s">
        <v>2129</v>
      </c>
      <c r="T261" s="1528" t="s">
        <v>2129</v>
      </c>
      <c r="U261" s="1528" t="s">
        <v>2129</v>
      </c>
      <c r="V261" s="1528" t="s">
        <v>2129</v>
      </c>
      <c r="W261" s="1528" t="s">
        <v>2129</v>
      </c>
      <c r="X261" s="1528" t="s">
        <v>2129</v>
      </c>
      <c r="Y261" s="1528" t="s">
        <v>2129</v>
      </c>
      <c r="Z261" s="1528" t="s">
        <v>2129</v>
      </c>
      <c r="AA261" s="1528" t="s">
        <v>2129</v>
      </c>
      <c r="AB261" s="1528" t="s">
        <v>2129</v>
      </c>
      <c r="AC261" s="1528" t="s">
        <v>2129</v>
      </c>
      <c r="AD261" s="1528" t="s">
        <v>2129</v>
      </c>
      <c r="AE261" s="1528" t="s">
        <v>2129</v>
      </c>
      <c r="AF261" s="1528" t="s">
        <v>2129</v>
      </c>
      <c r="AG261" s="1528" t="s">
        <v>2129</v>
      </c>
    </row>
    <row r="262" spans="1:33" ht="126" hidden="1" thickBot="1">
      <c r="A262" s="1530"/>
      <c r="B262" s="1532"/>
      <c r="C262" s="1530"/>
      <c r="D262" s="1409" t="s">
        <v>2380</v>
      </c>
      <c r="E262" s="1529"/>
      <c r="F262" s="1529"/>
      <c r="G262" s="1529"/>
      <c r="H262" s="1529"/>
      <c r="I262" s="1529"/>
      <c r="J262" s="1529"/>
      <c r="K262" s="1529"/>
      <c r="L262" s="1529"/>
      <c r="M262" s="1529"/>
      <c r="N262" s="1529"/>
      <c r="O262" s="1529"/>
      <c r="P262" s="1529"/>
      <c r="Q262" s="1529"/>
      <c r="R262" s="1529"/>
      <c r="S262" s="1529"/>
      <c r="T262" s="1529"/>
      <c r="U262" s="1529"/>
      <c r="V262" s="1529"/>
      <c r="W262" s="1529"/>
      <c r="X262" s="1529"/>
      <c r="Y262" s="1529"/>
      <c r="Z262" s="1529"/>
      <c r="AA262" s="1529"/>
      <c r="AB262" s="1529"/>
      <c r="AC262" s="1529"/>
      <c r="AD262" s="1529"/>
      <c r="AE262" s="1529"/>
      <c r="AF262" s="1529"/>
      <c r="AG262" s="1529"/>
    </row>
    <row r="263" spans="1:33" ht="18.75" hidden="1" thickBot="1">
      <c r="A263" s="1530"/>
      <c r="B263" s="1532"/>
      <c r="C263" s="1530"/>
      <c r="D263" s="1410" t="s">
        <v>2384</v>
      </c>
      <c r="E263" s="1528" t="s">
        <v>2129</v>
      </c>
      <c r="F263" s="1528" t="s">
        <v>2129</v>
      </c>
      <c r="G263" s="1528" t="s">
        <v>2129</v>
      </c>
      <c r="H263" s="1528" t="s">
        <v>2129</v>
      </c>
      <c r="I263" s="1528" t="s">
        <v>2129</v>
      </c>
      <c r="J263" s="1528" t="s">
        <v>2129</v>
      </c>
      <c r="K263" s="1528" t="s">
        <v>2129</v>
      </c>
      <c r="L263" s="1528" t="s">
        <v>2286</v>
      </c>
      <c r="M263" s="1528">
        <v>166</v>
      </c>
      <c r="N263" s="1528">
        <v>270</v>
      </c>
      <c r="O263" s="1528">
        <v>270</v>
      </c>
      <c r="P263" s="1528"/>
      <c r="Q263" s="1528"/>
      <c r="R263" s="1528"/>
      <c r="S263" s="1528" t="s">
        <v>2129</v>
      </c>
      <c r="T263" s="1528" t="s">
        <v>2129</v>
      </c>
      <c r="U263" s="1528" t="s">
        <v>2129</v>
      </c>
      <c r="V263" s="1528" t="s">
        <v>2129</v>
      </c>
      <c r="W263" s="1528" t="s">
        <v>2129</v>
      </c>
      <c r="X263" s="1528" t="s">
        <v>2129</v>
      </c>
      <c r="Y263" s="1528" t="s">
        <v>2129</v>
      </c>
      <c r="Z263" s="1528" t="s">
        <v>2129</v>
      </c>
      <c r="AA263" s="1528" t="s">
        <v>2129</v>
      </c>
      <c r="AB263" s="1528" t="s">
        <v>2129</v>
      </c>
      <c r="AC263" s="1528" t="s">
        <v>2129</v>
      </c>
      <c r="AD263" s="1528" t="s">
        <v>2129</v>
      </c>
      <c r="AE263" s="1528" t="s">
        <v>2129</v>
      </c>
      <c r="AF263" s="1528" t="s">
        <v>2129</v>
      </c>
      <c r="AG263" s="1528" t="s">
        <v>2129</v>
      </c>
    </row>
    <row r="264" spans="1:33" ht="126" hidden="1" thickBot="1">
      <c r="A264" s="1530"/>
      <c r="B264" s="1532"/>
      <c r="C264" s="1530"/>
      <c r="D264" s="1409" t="s">
        <v>2380</v>
      </c>
      <c r="E264" s="1529"/>
      <c r="F264" s="1529"/>
      <c r="G264" s="1529"/>
      <c r="H264" s="1529"/>
      <c r="I264" s="1529"/>
      <c r="J264" s="1529"/>
      <c r="K264" s="1529"/>
      <c r="L264" s="1529"/>
      <c r="M264" s="1529"/>
      <c r="N264" s="1529"/>
      <c r="O264" s="1529"/>
      <c r="P264" s="1529"/>
      <c r="Q264" s="1529"/>
      <c r="R264" s="1529"/>
      <c r="S264" s="1529"/>
      <c r="T264" s="1529"/>
      <c r="U264" s="1529"/>
      <c r="V264" s="1529"/>
      <c r="W264" s="1529"/>
      <c r="X264" s="1529"/>
      <c r="Y264" s="1529"/>
      <c r="Z264" s="1529"/>
      <c r="AA264" s="1529"/>
      <c r="AB264" s="1529"/>
      <c r="AC264" s="1529"/>
      <c r="AD264" s="1529"/>
      <c r="AE264" s="1529"/>
      <c r="AF264" s="1529"/>
      <c r="AG264" s="1529"/>
    </row>
    <row r="265" spans="1:33" ht="15.75" hidden="1" thickBot="1">
      <c r="A265" s="1530"/>
      <c r="B265" s="1532"/>
      <c r="C265" s="1530"/>
      <c r="D265" s="1410" t="s">
        <v>2385</v>
      </c>
      <c r="E265" s="1528" t="s">
        <v>2129</v>
      </c>
      <c r="F265" s="1528" t="s">
        <v>2129</v>
      </c>
      <c r="G265" s="1528" t="s">
        <v>2129</v>
      </c>
      <c r="H265" s="1528" t="s">
        <v>2129</v>
      </c>
      <c r="I265" s="1528" t="s">
        <v>2129</v>
      </c>
      <c r="J265" s="1528" t="s">
        <v>2129</v>
      </c>
      <c r="K265" s="1528" t="s">
        <v>2129</v>
      </c>
      <c r="L265" s="1528" t="s">
        <v>2286</v>
      </c>
      <c r="M265" s="1528">
        <v>166</v>
      </c>
      <c r="N265" s="1528">
        <v>300</v>
      </c>
      <c r="O265" s="1528">
        <v>300</v>
      </c>
      <c r="P265" s="1528"/>
      <c r="Q265" s="1528"/>
      <c r="R265" s="1528"/>
      <c r="S265" s="1528" t="s">
        <v>2129</v>
      </c>
      <c r="T265" s="1528" t="s">
        <v>2129</v>
      </c>
      <c r="U265" s="1528" t="s">
        <v>2129</v>
      </c>
      <c r="V265" s="1528" t="s">
        <v>2129</v>
      </c>
      <c r="W265" s="1528" t="s">
        <v>2129</v>
      </c>
      <c r="X265" s="1528" t="s">
        <v>2129</v>
      </c>
      <c r="Y265" s="1528" t="s">
        <v>2129</v>
      </c>
      <c r="Z265" s="1528" t="s">
        <v>2129</v>
      </c>
      <c r="AA265" s="1528" t="s">
        <v>2129</v>
      </c>
      <c r="AB265" s="1528" t="s">
        <v>2129</v>
      </c>
      <c r="AC265" s="1528" t="s">
        <v>2129</v>
      </c>
      <c r="AD265" s="1528" t="s">
        <v>2129</v>
      </c>
      <c r="AE265" s="1528" t="s">
        <v>2129</v>
      </c>
      <c r="AF265" s="1528" t="s">
        <v>2129</v>
      </c>
      <c r="AG265" s="1528" t="s">
        <v>2129</v>
      </c>
    </row>
    <row r="266" spans="1:33" ht="126" hidden="1" thickBot="1">
      <c r="A266" s="1529"/>
      <c r="B266" s="1533"/>
      <c r="C266" s="1529"/>
      <c r="D266" s="1409" t="s">
        <v>2380</v>
      </c>
      <c r="E266" s="1529"/>
      <c r="F266" s="1529"/>
      <c r="G266" s="1529"/>
      <c r="H266" s="1529"/>
      <c r="I266" s="1529"/>
      <c r="J266" s="1529"/>
      <c r="K266" s="1529"/>
      <c r="L266" s="1529"/>
      <c r="M266" s="1529"/>
      <c r="N266" s="1529"/>
      <c r="O266" s="1529"/>
      <c r="P266" s="1529"/>
      <c r="Q266" s="1529"/>
      <c r="R266" s="1529"/>
      <c r="S266" s="1529"/>
      <c r="T266" s="1529"/>
      <c r="U266" s="1529"/>
      <c r="V266" s="1529"/>
      <c r="W266" s="1529"/>
      <c r="X266" s="1529"/>
      <c r="Y266" s="1529"/>
      <c r="Z266" s="1529"/>
      <c r="AA266" s="1529"/>
      <c r="AB266" s="1529"/>
      <c r="AC266" s="1529"/>
      <c r="AD266" s="1529"/>
      <c r="AE266" s="1529"/>
      <c r="AF266" s="1529"/>
      <c r="AG266" s="1529"/>
    </row>
    <row r="267" spans="1:33" ht="60" hidden="1" thickBot="1">
      <c r="A267" s="1528">
        <v>46</v>
      </c>
      <c r="B267" s="1531">
        <v>1.7224300000000002E+35</v>
      </c>
      <c r="C267" s="1528" t="s">
        <v>2386</v>
      </c>
      <c r="D267" s="1528" t="s">
        <v>2387</v>
      </c>
      <c r="E267" s="1528" t="s">
        <v>2388</v>
      </c>
      <c r="F267" s="1528"/>
      <c r="G267" s="1528">
        <v>0</v>
      </c>
      <c r="H267" s="1528">
        <v>0</v>
      </c>
      <c r="I267" s="1528">
        <v>0</v>
      </c>
      <c r="J267" s="1528">
        <v>0</v>
      </c>
      <c r="K267" s="1528">
        <v>0</v>
      </c>
      <c r="L267" s="1528" t="s">
        <v>2129</v>
      </c>
      <c r="M267" s="1528" t="s">
        <v>2129</v>
      </c>
      <c r="N267" s="1528" t="s">
        <v>2129</v>
      </c>
      <c r="O267" s="1528" t="s">
        <v>2129</v>
      </c>
      <c r="P267" s="1528" t="s">
        <v>2129</v>
      </c>
      <c r="Q267" s="1528" t="s">
        <v>2129</v>
      </c>
      <c r="R267" s="1528" t="s">
        <v>2129</v>
      </c>
      <c r="S267" s="1410" t="s">
        <v>2130</v>
      </c>
      <c r="T267" s="1528"/>
      <c r="U267" s="1528"/>
      <c r="V267" s="1528">
        <v>5.2016999999999998</v>
      </c>
      <c r="W267" s="1528">
        <v>12.201700000000001</v>
      </c>
      <c r="X267" s="1528" t="s">
        <v>2281</v>
      </c>
      <c r="Y267" s="1528" t="s">
        <v>2282</v>
      </c>
      <c r="Z267" s="1528" t="s">
        <v>2132</v>
      </c>
      <c r="AA267" s="1528" t="s">
        <v>2301</v>
      </c>
      <c r="AB267" s="1528"/>
      <c r="AC267" s="1528"/>
      <c r="AD267" s="1528"/>
      <c r="AE267" s="1410" t="s">
        <v>2198</v>
      </c>
      <c r="AF267" s="1528"/>
      <c r="AG267" s="1528" t="s">
        <v>2283</v>
      </c>
    </row>
    <row r="268" spans="1:33" ht="84.75" hidden="1" thickBot="1">
      <c r="A268" s="1530"/>
      <c r="B268" s="1532"/>
      <c r="C268" s="1530"/>
      <c r="D268" s="1530"/>
      <c r="E268" s="1530"/>
      <c r="F268" s="1530"/>
      <c r="G268" s="1530"/>
      <c r="H268" s="1530"/>
      <c r="I268" s="1530"/>
      <c r="J268" s="1530"/>
      <c r="K268" s="1530"/>
      <c r="L268" s="1530"/>
      <c r="M268" s="1530"/>
      <c r="N268" s="1530"/>
      <c r="O268" s="1530"/>
      <c r="P268" s="1530"/>
      <c r="Q268" s="1530"/>
      <c r="R268" s="1530"/>
      <c r="S268" s="1410" t="s">
        <v>2239</v>
      </c>
      <c r="T268" s="1530"/>
      <c r="U268" s="1530"/>
      <c r="V268" s="1530"/>
      <c r="W268" s="1530"/>
      <c r="X268" s="1530"/>
      <c r="Y268" s="1530"/>
      <c r="Z268" s="1530"/>
      <c r="AA268" s="1530"/>
      <c r="AB268" s="1530"/>
      <c r="AC268" s="1530"/>
      <c r="AD268" s="1530"/>
      <c r="AE268" s="1410" t="s">
        <v>2200</v>
      </c>
      <c r="AF268" s="1530"/>
      <c r="AG268" s="1530"/>
    </row>
    <row r="269" spans="1:33" ht="15.75" hidden="1" thickBot="1">
      <c r="A269" s="1530"/>
      <c r="B269" s="1532"/>
      <c r="C269" s="1530"/>
      <c r="D269" s="1529"/>
      <c r="E269" s="1529"/>
      <c r="F269" s="1529"/>
      <c r="G269" s="1529"/>
      <c r="H269" s="1529"/>
      <c r="I269" s="1529"/>
      <c r="J269" s="1529"/>
      <c r="K269" s="1529"/>
      <c r="L269" s="1529"/>
      <c r="M269" s="1529"/>
      <c r="N269" s="1529"/>
      <c r="O269" s="1529"/>
      <c r="P269" s="1529"/>
      <c r="Q269" s="1529"/>
      <c r="R269" s="1529"/>
      <c r="S269" s="1409"/>
      <c r="T269" s="1529"/>
      <c r="U269" s="1529"/>
      <c r="V269" s="1529"/>
      <c r="W269" s="1529"/>
      <c r="X269" s="1529"/>
      <c r="Y269" s="1529"/>
      <c r="Z269" s="1529"/>
      <c r="AA269" s="1529"/>
      <c r="AB269" s="1529"/>
      <c r="AC269" s="1529"/>
      <c r="AD269" s="1529"/>
      <c r="AE269" s="1409"/>
      <c r="AF269" s="1529"/>
      <c r="AG269" s="1529"/>
    </row>
    <row r="270" spans="1:33" ht="15.75" hidden="1" thickBot="1">
      <c r="A270" s="1530"/>
      <c r="B270" s="1532"/>
      <c r="C270" s="1530"/>
      <c r="D270" s="1410" t="s">
        <v>2389</v>
      </c>
      <c r="E270" s="1528" t="s">
        <v>2129</v>
      </c>
      <c r="F270" s="1528" t="s">
        <v>2129</v>
      </c>
      <c r="G270" s="1528" t="s">
        <v>2129</v>
      </c>
      <c r="H270" s="1528" t="s">
        <v>2129</v>
      </c>
      <c r="I270" s="1528" t="s">
        <v>2129</v>
      </c>
      <c r="J270" s="1528" t="s">
        <v>2129</v>
      </c>
      <c r="K270" s="1528" t="s">
        <v>2129</v>
      </c>
      <c r="L270" s="1528" t="s">
        <v>2166</v>
      </c>
      <c r="M270" s="1528">
        <v>796</v>
      </c>
      <c r="N270" s="1528">
        <v>1200</v>
      </c>
      <c r="O270" s="1528">
        <v>1200</v>
      </c>
      <c r="P270" s="1528"/>
      <c r="Q270" s="1528"/>
      <c r="R270" s="1528"/>
      <c r="S270" s="1528" t="s">
        <v>2129</v>
      </c>
      <c r="T270" s="1528" t="s">
        <v>2129</v>
      </c>
      <c r="U270" s="1528" t="s">
        <v>2129</v>
      </c>
      <c r="V270" s="1528" t="s">
        <v>2129</v>
      </c>
      <c r="W270" s="1528" t="s">
        <v>2129</v>
      </c>
      <c r="X270" s="1528" t="s">
        <v>2129</v>
      </c>
      <c r="Y270" s="1528" t="s">
        <v>2129</v>
      </c>
      <c r="Z270" s="1528" t="s">
        <v>2129</v>
      </c>
      <c r="AA270" s="1528" t="s">
        <v>2129</v>
      </c>
      <c r="AB270" s="1528" t="s">
        <v>2129</v>
      </c>
      <c r="AC270" s="1528" t="s">
        <v>2129</v>
      </c>
      <c r="AD270" s="1528" t="s">
        <v>2129</v>
      </c>
      <c r="AE270" s="1528" t="s">
        <v>2129</v>
      </c>
      <c r="AF270" s="1528" t="s">
        <v>2129</v>
      </c>
      <c r="AG270" s="1528" t="s">
        <v>2129</v>
      </c>
    </row>
    <row r="271" spans="1:33" ht="76.5" hidden="1" thickBot="1">
      <c r="A271" s="1530"/>
      <c r="B271" s="1532"/>
      <c r="C271" s="1530"/>
      <c r="D271" s="1409" t="s">
        <v>2390</v>
      </c>
      <c r="E271" s="1529"/>
      <c r="F271" s="1529"/>
      <c r="G271" s="1529"/>
      <c r="H271" s="1529"/>
      <c r="I271" s="1529"/>
      <c r="J271" s="1529"/>
      <c r="K271" s="1529"/>
      <c r="L271" s="1529"/>
      <c r="M271" s="1529"/>
      <c r="N271" s="1529"/>
      <c r="O271" s="1529"/>
      <c r="P271" s="1529"/>
      <c r="Q271" s="1529"/>
      <c r="R271" s="1529"/>
      <c r="S271" s="1529"/>
      <c r="T271" s="1529"/>
      <c r="U271" s="1529"/>
      <c r="V271" s="1529"/>
      <c r="W271" s="1529"/>
      <c r="X271" s="1529"/>
      <c r="Y271" s="1529"/>
      <c r="Z271" s="1529"/>
      <c r="AA271" s="1529"/>
      <c r="AB271" s="1529"/>
      <c r="AC271" s="1529"/>
      <c r="AD271" s="1529"/>
      <c r="AE271" s="1529"/>
      <c r="AF271" s="1529"/>
      <c r="AG271" s="1529"/>
    </row>
    <row r="272" spans="1:33" ht="18.75" hidden="1" thickBot="1">
      <c r="A272" s="1530"/>
      <c r="B272" s="1532"/>
      <c r="C272" s="1530"/>
      <c r="D272" s="1410" t="s">
        <v>2391</v>
      </c>
      <c r="E272" s="1528" t="s">
        <v>2129</v>
      </c>
      <c r="F272" s="1528" t="s">
        <v>2129</v>
      </c>
      <c r="G272" s="1528" t="s">
        <v>2129</v>
      </c>
      <c r="H272" s="1528" t="s">
        <v>2129</v>
      </c>
      <c r="I272" s="1528" t="s">
        <v>2129</v>
      </c>
      <c r="J272" s="1528" t="s">
        <v>2129</v>
      </c>
      <c r="K272" s="1528" t="s">
        <v>2129</v>
      </c>
      <c r="L272" s="1528" t="s">
        <v>2286</v>
      </c>
      <c r="M272" s="1528">
        <v>166</v>
      </c>
      <c r="N272" s="1528">
        <v>1080</v>
      </c>
      <c r="O272" s="1528">
        <v>1080</v>
      </c>
      <c r="P272" s="1528"/>
      <c r="Q272" s="1528"/>
      <c r="R272" s="1528"/>
      <c r="S272" s="1528" t="s">
        <v>2129</v>
      </c>
      <c r="T272" s="1528" t="s">
        <v>2129</v>
      </c>
      <c r="U272" s="1528" t="s">
        <v>2129</v>
      </c>
      <c r="V272" s="1528" t="s">
        <v>2129</v>
      </c>
      <c r="W272" s="1528" t="s">
        <v>2129</v>
      </c>
      <c r="X272" s="1528" t="s">
        <v>2129</v>
      </c>
      <c r="Y272" s="1528" t="s">
        <v>2129</v>
      </c>
      <c r="Z272" s="1528" t="s">
        <v>2129</v>
      </c>
      <c r="AA272" s="1528" t="s">
        <v>2129</v>
      </c>
      <c r="AB272" s="1528" t="s">
        <v>2129</v>
      </c>
      <c r="AC272" s="1528" t="s">
        <v>2129</v>
      </c>
      <c r="AD272" s="1528" t="s">
        <v>2129</v>
      </c>
      <c r="AE272" s="1528" t="s">
        <v>2129</v>
      </c>
      <c r="AF272" s="1528" t="s">
        <v>2129</v>
      </c>
      <c r="AG272" s="1528" t="s">
        <v>2129</v>
      </c>
    </row>
    <row r="273" spans="1:33" ht="60" hidden="1" thickBot="1">
      <c r="A273" s="1530"/>
      <c r="B273" s="1532"/>
      <c r="C273" s="1530"/>
      <c r="D273" s="1409" t="s">
        <v>2392</v>
      </c>
      <c r="E273" s="1529"/>
      <c r="F273" s="1529"/>
      <c r="G273" s="1529"/>
      <c r="H273" s="1529"/>
      <c r="I273" s="1529"/>
      <c r="J273" s="1529"/>
      <c r="K273" s="1529"/>
      <c r="L273" s="1529"/>
      <c r="M273" s="1529"/>
      <c r="N273" s="1529"/>
      <c r="O273" s="1529"/>
      <c r="P273" s="1529"/>
      <c r="Q273" s="1529"/>
      <c r="R273" s="1529"/>
      <c r="S273" s="1529"/>
      <c r="T273" s="1529"/>
      <c r="U273" s="1529"/>
      <c r="V273" s="1529"/>
      <c r="W273" s="1529"/>
      <c r="X273" s="1529"/>
      <c r="Y273" s="1529"/>
      <c r="Z273" s="1529"/>
      <c r="AA273" s="1529"/>
      <c r="AB273" s="1529"/>
      <c r="AC273" s="1529"/>
      <c r="AD273" s="1529"/>
      <c r="AE273" s="1529"/>
      <c r="AF273" s="1529"/>
      <c r="AG273" s="1529"/>
    </row>
    <row r="274" spans="1:33" ht="27" hidden="1" thickBot="1">
      <c r="A274" s="1530"/>
      <c r="B274" s="1532"/>
      <c r="C274" s="1530"/>
      <c r="D274" s="1410" t="s">
        <v>2393</v>
      </c>
      <c r="E274" s="1528" t="s">
        <v>2129</v>
      </c>
      <c r="F274" s="1528" t="s">
        <v>2129</v>
      </c>
      <c r="G274" s="1528" t="s">
        <v>2129</v>
      </c>
      <c r="H274" s="1528" t="s">
        <v>2129</v>
      </c>
      <c r="I274" s="1528" t="s">
        <v>2129</v>
      </c>
      <c r="J274" s="1528" t="s">
        <v>2129</v>
      </c>
      <c r="K274" s="1528" t="s">
        <v>2129</v>
      </c>
      <c r="L274" s="1528" t="s">
        <v>2286</v>
      </c>
      <c r="M274" s="1528">
        <v>166</v>
      </c>
      <c r="N274" s="1528">
        <v>630</v>
      </c>
      <c r="O274" s="1528">
        <v>630</v>
      </c>
      <c r="P274" s="1528"/>
      <c r="Q274" s="1528"/>
      <c r="R274" s="1528"/>
      <c r="S274" s="1528" t="s">
        <v>2129</v>
      </c>
      <c r="T274" s="1528" t="s">
        <v>2129</v>
      </c>
      <c r="U274" s="1528" t="s">
        <v>2129</v>
      </c>
      <c r="V274" s="1528" t="s">
        <v>2129</v>
      </c>
      <c r="W274" s="1528" t="s">
        <v>2129</v>
      </c>
      <c r="X274" s="1528" t="s">
        <v>2129</v>
      </c>
      <c r="Y274" s="1528" t="s">
        <v>2129</v>
      </c>
      <c r="Z274" s="1528" t="s">
        <v>2129</v>
      </c>
      <c r="AA274" s="1528" t="s">
        <v>2129</v>
      </c>
      <c r="AB274" s="1528" t="s">
        <v>2129</v>
      </c>
      <c r="AC274" s="1528" t="s">
        <v>2129</v>
      </c>
      <c r="AD274" s="1528" t="s">
        <v>2129</v>
      </c>
      <c r="AE274" s="1528" t="s">
        <v>2129</v>
      </c>
      <c r="AF274" s="1528" t="s">
        <v>2129</v>
      </c>
      <c r="AG274" s="1528" t="s">
        <v>2129</v>
      </c>
    </row>
    <row r="275" spans="1:33" ht="68.25" hidden="1" thickBot="1">
      <c r="A275" s="1529"/>
      <c r="B275" s="1533"/>
      <c r="C275" s="1529"/>
      <c r="D275" s="1409" t="s">
        <v>2394</v>
      </c>
      <c r="E275" s="1529"/>
      <c r="F275" s="1529"/>
      <c r="G275" s="1529"/>
      <c r="H275" s="1529"/>
      <c r="I275" s="1529"/>
      <c r="J275" s="1529"/>
      <c r="K275" s="1529"/>
      <c r="L275" s="1529"/>
      <c r="M275" s="1529"/>
      <c r="N275" s="1529"/>
      <c r="O275" s="1529"/>
      <c r="P275" s="1529"/>
      <c r="Q275" s="1529"/>
      <c r="R275" s="1529"/>
      <c r="S275" s="1529"/>
      <c r="T275" s="1529"/>
      <c r="U275" s="1529"/>
      <c r="V275" s="1529"/>
      <c r="W275" s="1529"/>
      <c r="X275" s="1529"/>
      <c r="Y275" s="1529"/>
      <c r="Z275" s="1529"/>
      <c r="AA275" s="1529"/>
      <c r="AB275" s="1529"/>
      <c r="AC275" s="1529"/>
      <c r="AD275" s="1529"/>
      <c r="AE275" s="1529"/>
      <c r="AF275" s="1529"/>
      <c r="AG275" s="1529"/>
    </row>
    <row r="276" spans="1:33" ht="60" hidden="1" thickBot="1">
      <c r="A276" s="1528">
        <v>47</v>
      </c>
      <c r="B276" s="1531">
        <v>1.7224300000000002E+35</v>
      </c>
      <c r="C276" s="1528" t="s">
        <v>2395</v>
      </c>
      <c r="D276" s="1528" t="s">
        <v>2396</v>
      </c>
      <c r="E276" s="1528">
        <v>0</v>
      </c>
      <c r="F276" s="1528"/>
      <c r="G276" s="1528">
        <v>0</v>
      </c>
      <c r="H276" s="1528">
        <v>0</v>
      </c>
      <c r="I276" s="1528">
        <v>0</v>
      </c>
      <c r="J276" s="1528">
        <v>0</v>
      </c>
      <c r="K276" s="1528">
        <v>0</v>
      </c>
      <c r="L276" s="1528" t="s">
        <v>2129</v>
      </c>
      <c r="M276" s="1528" t="s">
        <v>2129</v>
      </c>
      <c r="N276" s="1528" t="s">
        <v>2129</v>
      </c>
      <c r="O276" s="1528" t="s">
        <v>2129</v>
      </c>
      <c r="P276" s="1528" t="s">
        <v>2129</v>
      </c>
      <c r="Q276" s="1528" t="s">
        <v>2129</v>
      </c>
      <c r="R276" s="1528" t="s">
        <v>2129</v>
      </c>
      <c r="S276" s="1410" t="s">
        <v>2169</v>
      </c>
      <c r="T276" s="1528"/>
      <c r="U276" s="1528"/>
      <c r="V276" s="1528">
        <v>5.2016999999999998</v>
      </c>
      <c r="W276" s="1528">
        <v>12.201700000000001</v>
      </c>
      <c r="X276" s="1528" t="s">
        <v>2281</v>
      </c>
      <c r="Y276" s="1528" t="s">
        <v>2282</v>
      </c>
      <c r="Z276" s="1528" t="s">
        <v>2132</v>
      </c>
      <c r="AA276" s="1528"/>
      <c r="AB276" s="1528"/>
      <c r="AC276" s="1528"/>
      <c r="AD276" s="1528"/>
      <c r="AE276" s="1410" t="s">
        <v>2198</v>
      </c>
      <c r="AF276" s="1528"/>
      <c r="AG276" s="1528" t="s">
        <v>2283</v>
      </c>
    </row>
    <row r="277" spans="1:33" ht="93" hidden="1" thickBot="1">
      <c r="A277" s="1530"/>
      <c r="B277" s="1532"/>
      <c r="C277" s="1530"/>
      <c r="D277" s="1529"/>
      <c r="E277" s="1529"/>
      <c r="F277" s="1529"/>
      <c r="G277" s="1529"/>
      <c r="H277" s="1529"/>
      <c r="I277" s="1529"/>
      <c r="J277" s="1529"/>
      <c r="K277" s="1529"/>
      <c r="L277" s="1529"/>
      <c r="M277" s="1529"/>
      <c r="N277" s="1529"/>
      <c r="O277" s="1529"/>
      <c r="P277" s="1529"/>
      <c r="Q277" s="1529"/>
      <c r="R277" s="1529"/>
      <c r="S277" s="1409" t="s">
        <v>2189</v>
      </c>
      <c r="T277" s="1529"/>
      <c r="U277" s="1529"/>
      <c r="V277" s="1529"/>
      <c r="W277" s="1529"/>
      <c r="X277" s="1529"/>
      <c r="Y277" s="1529"/>
      <c r="Z277" s="1529"/>
      <c r="AA277" s="1529"/>
      <c r="AB277" s="1529"/>
      <c r="AC277" s="1529"/>
      <c r="AD277" s="1529"/>
      <c r="AE277" s="1409" t="s">
        <v>2200</v>
      </c>
      <c r="AF277" s="1529"/>
      <c r="AG277" s="1529"/>
    </row>
    <row r="278" spans="1:33" ht="18.75" hidden="1" thickBot="1">
      <c r="A278" s="1530"/>
      <c r="B278" s="1532"/>
      <c r="C278" s="1530"/>
      <c r="D278" s="1410" t="s">
        <v>2395</v>
      </c>
      <c r="E278" s="1528" t="s">
        <v>2129</v>
      </c>
      <c r="F278" s="1528" t="s">
        <v>2129</v>
      </c>
      <c r="G278" s="1528" t="s">
        <v>2129</v>
      </c>
      <c r="H278" s="1528" t="s">
        <v>2129</v>
      </c>
      <c r="I278" s="1528" t="s">
        <v>2129</v>
      </c>
      <c r="J278" s="1528" t="s">
        <v>2129</v>
      </c>
      <c r="K278" s="1528" t="s">
        <v>2129</v>
      </c>
      <c r="L278" s="1528" t="s">
        <v>2166</v>
      </c>
      <c r="M278" s="1528">
        <v>796</v>
      </c>
      <c r="N278" s="1528">
        <v>540</v>
      </c>
      <c r="O278" s="1528">
        <v>540</v>
      </c>
      <c r="P278" s="1528"/>
      <c r="Q278" s="1528"/>
      <c r="R278" s="1528"/>
      <c r="S278" s="1528" t="s">
        <v>2129</v>
      </c>
      <c r="T278" s="1528" t="s">
        <v>2129</v>
      </c>
      <c r="U278" s="1528" t="s">
        <v>2129</v>
      </c>
      <c r="V278" s="1528" t="s">
        <v>2129</v>
      </c>
      <c r="W278" s="1528" t="s">
        <v>2129</v>
      </c>
      <c r="X278" s="1528" t="s">
        <v>2129</v>
      </c>
      <c r="Y278" s="1528" t="s">
        <v>2129</v>
      </c>
      <c r="Z278" s="1528" t="s">
        <v>2129</v>
      </c>
      <c r="AA278" s="1528" t="s">
        <v>2129</v>
      </c>
      <c r="AB278" s="1528" t="s">
        <v>2129</v>
      </c>
      <c r="AC278" s="1528" t="s">
        <v>2129</v>
      </c>
      <c r="AD278" s="1528" t="s">
        <v>2129</v>
      </c>
      <c r="AE278" s="1528" t="s">
        <v>2129</v>
      </c>
      <c r="AF278" s="1528" t="s">
        <v>2129</v>
      </c>
      <c r="AG278" s="1528" t="s">
        <v>2129</v>
      </c>
    </row>
    <row r="279" spans="1:33" ht="84.75" hidden="1" thickBot="1">
      <c r="A279" s="1530"/>
      <c r="B279" s="1532"/>
      <c r="C279" s="1530"/>
      <c r="D279" s="1409" t="s">
        <v>2397</v>
      </c>
      <c r="E279" s="1529"/>
      <c r="F279" s="1529"/>
      <c r="G279" s="1529"/>
      <c r="H279" s="1529"/>
      <c r="I279" s="1529"/>
      <c r="J279" s="1529"/>
      <c r="K279" s="1529"/>
      <c r="L279" s="1529"/>
      <c r="M279" s="1529"/>
      <c r="N279" s="1529"/>
      <c r="O279" s="1529"/>
      <c r="P279" s="1529"/>
      <c r="Q279" s="1529"/>
      <c r="R279" s="1529"/>
      <c r="S279" s="1529"/>
      <c r="T279" s="1529"/>
      <c r="U279" s="1529"/>
      <c r="V279" s="1529"/>
      <c r="W279" s="1529"/>
      <c r="X279" s="1529"/>
      <c r="Y279" s="1529"/>
      <c r="Z279" s="1529"/>
      <c r="AA279" s="1529"/>
      <c r="AB279" s="1529"/>
      <c r="AC279" s="1529"/>
      <c r="AD279" s="1529"/>
      <c r="AE279" s="1529"/>
      <c r="AF279" s="1529"/>
      <c r="AG279" s="1529"/>
    </row>
    <row r="280" spans="1:33" ht="15.75" hidden="1" thickBot="1">
      <c r="A280" s="1530"/>
      <c r="B280" s="1532"/>
      <c r="C280" s="1530"/>
      <c r="D280" s="1410" t="s">
        <v>2398</v>
      </c>
      <c r="E280" s="1528" t="s">
        <v>2129</v>
      </c>
      <c r="F280" s="1528" t="s">
        <v>2129</v>
      </c>
      <c r="G280" s="1528" t="s">
        <v>2129</v>
      </c>
      <c r="H280" s="1528" t="s">
        <v>2129</v>
      </c>
      <c r="I280" s="1528" t="s">
        <v>2129</v>
      </c>
      <c r="J280" s="1528" t="s">
        <v>2129</v>
      </c>
      <c r="K280" s="1528" t="s">
        <v>2129</v>
      </c>
      <c r="L280" s="1528" t="s">
        <v>2166</v>
      </c>
      <c r="M280" s="1528">
        <v>796</v>
      </c>
      <c r="N280" s="1528">
        <v>540</v>
      </c>
      <c r="O280" s="1528">
        <v>540</v>
      </c>
      <c r="P280" s="1528"/>
      <c r="Q280" s="1528"/>
      <c r="R280" s="1528"/>
      <c r="S280" s="1528" t="s">
        <v>2129</v>
      </c>
      <c r="T280" s="1528" t="s">
        <v>2129</v>
      </c>
      <c r="U280" s="1528" t="s">
        <v>2129</v>
      </c>
      <c r="V280" s="1528" t="s">
        <v>2129</v>
      </c>
      <c r="W280" s="1528" t="s">
        <v>2129</v>
      </c>
      <c r="X280" s="1528" t="s">
        <v>2129</v>
      </c>
      <c r="Y280" s="1528" t="s">
        <v>2129</v>
      </c>
      <c r="Z280" s="1528" t="s">
        <v>2129</v>
      </c>
      <c r="AA280" s="1528" t="s">
        <v>2129</v>
      </c>
      <c r="AB280" s="1528" t="s">
        <v>2129</v>
      </c>
      <c r="AC280" s="1528" t="s">
        <v>2129</v>
      </c>
      <c r="AD280" s="1528" t="s">
        <v>2129</v>
      </c>
      <c r="AE280" s="1528" t="s">
        <v>2129</v>
      </c>
      <c r="AF280" s="1528" t="s">
        <v>2129</v>
      </c>
      <c r="AG280" s="1528" t="s">
        <v>2129</v>
      </c>
    </row>
    <row r="281" spans="1:33" ht="68.25" hidden="1" thickBot="1">
      <c r="A281" s="1530"/>
      <c r="B281" s="1532"/>
      <c r="C281" s="1530"/>
      <c r="D281" s="1409" t="s">
        <v>2399</v>
      </c>
      <c r="E281" s="1529"/>
      <c r="F281" s="1529"/>
      <c r="G281" s="1529"/>
      <c r="H281" s="1529"/>
      <c r="I281" s="1529"/>
      <c r="J281" s="1529"/>
      <c r="K281" s="1529"/>
      <c r="L281" s="1529"/>
      <c r="M281" s="1529"/>
      <c r="N281" s="1529"/>
      <c r="O281" s="1529"/>
      <c r="P281" s="1529"/>
      <c r="Q281" s="1529"/>
      <c r="R281" s="1529"/>
      <c r="S281" s="1529"/>
      <c r="T281" s="1529"/>
      <c r="U281" s="1529"/>
      <c r="V281" s="1529"/>
      <c r="W281" s="1529"/>
      <c r="X281" s="1529"/>
      <c r="Y281" s="1529"/>
      <c r="Z281" s="1529"/>
      <c r="AA281" s="1529"/>
      <c r="AB281" s="1529"/>
      <c r="AC281" s="1529"/>
      <c r="AD281" s="1529"/>
      <c r="AE281" s="1529"/>
      <c r="AF281" s="1529"/>
      <c r="AG281" s="1529"/>
    </row>
    <row r="282" spans="1:33" ht="18.75" hidden="1" thickBot="1">
      <c r="A282" s="1530"/>
      <c r="B282" s="1532"/>
      <c r="C282" s="1530"/>
      <c r="D282" s="1410" t="s">
        <v>2400</v>
      </c>
      <c r="E282" s="1528" t="s">
        <v>2129</v>
      </c>
      <c r="F282" s="1528" t="s">
        <v>2129</v>
      </c>
      <c r="G282" s="1528" t="s">
        <v>2129</v>
      </c>
      <c r="H282" s="1528" t="s">
        <v>2129</v>
      </c>
      <c r="I282" s="1528" t="s">
        <v>2129</v>
      </c>
      <c r="J282" s="1528" t="s">
        <v>2129</v>
      </c>
      <c r="K282" s="1528" t="s">
        <v>2129</v>
      </c>
      <c r="L282" s="1528" t="s">
        <v>2166</v>
      </c>
      <c r="M282" s="1528">
        <v>796</v>
      </c>
      <c r="N282" s="1528">
        <v>540</v>
      </c>
      <c r="O282" s="1528">
        <v>540</v>
      </c>
      <c r="P282" s="1528"/>
      <c r="Q282" s="1528"/>
      <c r="R282" s="1528"/>
      <c r="S282" s="1528" t="s">
        <v>2129</v>
      </c>
      <c r="T282" s="1528" t="s">
        <v>2129</v>
      </c>
      <c r="U282" s="1528" t="s">
        <v>2129</v>
      </c>
      <c r="V282" s="1528" t="s">
        <v>2129</v>
      </c>
      <c r="W282" s="1528" t="s">
        <v>2129</v>
      </c>
      <c r="X282" s="1528" t="s">
        <v>2129</v>
      </c>
      <c r="Y282" s="1528" t="s">
        <v>2129</v>
      </c>
      <c r="Z282" s="1528" t="s">
        <v>2129</v>
      </c>
      <c r="AA282" s="1528" t="s">
        <v>2129</v>
      </c>
      <c r="AB282" s="1528" t="s">
        <v>2129</v>
      </c>
      <c r="AC282" s="1528" t="s">
        <v>2129</v>
      </c>
      <c r="AD282" s="1528" t="s">
        <v>2129</v>
      </c>
      <c r="AE282" s="1528" t="s">
        <v>2129</v>
      </c>
      <c r="AF282" s="1528" t="s">
        <v>2129</v>
      </c>
      <c r="AG282" s="1528" t="s">
        <v>2129</v>
      </c>
    </row>
    <row r="283" spans="1:33" ht="68.25" hidden="1" thickBot="1">
      <c r="A283" s="1529"/>
      <c r="B283" s="1533"/>
      <c r="C283" s="1529"/>
      <c r="D283" s="1409" t="s">
        <v>2401</v>
      </c>
      <c r="E283" s="1529"/>
      <c r="F283" s="1529"/>
      <c r="G283" s="1529"/>
      <c r="H283" s="1529"/>
      <c r="I283" s="1529"/>
      <c r="J283" s="1529"/>
      <c r="K283" s="1529"/>
      <c r="L283" s="1529"/>
      <c r="M283" s="1529"/>
      <c r="N283" s="1529"/>
      <c r="O283" s="1529"/>
      <c r="P283" s="1529"/>
      <c r="Q283" s="1529"/>
      <c r="R283" s="1529"/>
      <c r="S283" s="1529"/>
      <c r="T283" s="1529"/>
      <c r="U283" s="1529"/>
      <c r="V283" s="1529"/>
      <c r="W283" s="1529"/>
      <c r="X283" s="1529"/>
      <c r="Y283" s="1529"/>
      <c r="Z283" s="1529"/>
      <c r="AA283" s="1529"/>
      <c r="AB283" s="1529"/>
      <c r="AC283" s="1529"/>
      <c r="AD283" s="1529"/>
      <c r="AE283" s="1529"/>
      <c r="AF283" s="1529"/>
      <c r="AG283" s="1529"/>
    </row>
    <row r="284" spans="1:33" ht="25.5" hidden="1" customHeight="1">
      <c r="A284" s="1528">
        <v>48</v>
      </c>
      <c r="B284" s="1531">
        <v>1.7224300000000002E+35</v>
      </c>
      <c r="C284" s="1528" t="s">
        <v>2402</v>
      </c>
      <c r="D284" s="1528" t="s">
        <v>2403</v>
      </c>
      <c r="E284" s="1528">
        <v>0</v>
      </c>
      <c r="F284" s="1528"/>
      <c r="G284" s="1528">
        <v>0</v>
      </c>
      <c r="H284" s="1528">
        <v>0</v>
      </c>
      <c r="I284" s="1528">
        <v>0</v>
      </c>
      <c r="J284" s="1528">
        <v>0</v>
      </c>
      <c r="K284" s="1528">
        <v>0</v>
      </c>
      <c r="L284" s="1528" t="s">
        <v>2129</v>
      </c>
      <c r="M284" s="1528" t="s">
        <v>2129</v>
      </c>
      <c r="N284" s="1528" t="s">
        <v>2129</v>
      </c>
      <c r="O284" s="1528" t="s">
        <v>2129</v>
      </c>
      <c r="P284" s="1528" t="s">
        <v>2129</v>
      </c>
      <c r="Q284" s="1528" t="s">
        <v>2129</v>
      </c>
      <c r="R284" s="1528" t="s">
        <v>2129</v>
      </c>
      <c r="S284" s="1410" t="s">
        <v>2163</v>
      </c>
      <c r="T284" s="1528"/>
      <c r="U284" s="1528"/>
      <c r="V284" s="1528">
        <v>5.2016999999999998</v>
      </c>
      <c r="W284" s="1528">
        <v>12.201700000000001</v>
      </c>
      <c r="X284" s="1528" t="s">
        <v>2131</v>
      </c>
      <c r="Y284" s="1528" t="s">
        <v>2132</v>
      </c>
      <c r="Z284" s="1528" t="s">
        <v>2132</v>
      </c>
      <c r="AA284" s="1528"/>
      <c r="AB284" s="1528"/>
      <c r="AC284" s="1528"/>
      <c r="AD284" s="1528"/>
      <c r="AE284" s="1410" t="s">
        <v>2198</v>
      </c>
      <c r="AF284" s="1528"/>
      <c r="AG284" s="1528"/>
    </row>
    <row r="285" spans="1:33" ht="93" hidden="1" thickBot="1">
      <c r="A285" s="1530"/>
      <c r="B285" s="1532"/>
      <c r="C285" s="1530"/>
      <c r="D285" s="1529"/>
      <c r="E285" s="1529"/>
      <c r="F285" s="1529"/>
      <c r="G285" s="1529"/>
      <c r="H285" s="1529"/>
      <c r="I285" s="1529"/>
      <c r="J285" s="1529"/>
      <c r="K285" s="1529"/>
      <c r="L285" s="1529"/>
      <c r="M285" s="1529"/>
      <c r="N285" s="1529"/>
      <c r="O285" s="1529"/>
      <c r="P285" s="1529"/>
      <c r="Q285" s="1529"/>
      <c r="R285" s="1529"/>
      <c r="S285" s="1409" t="s">
        <v>2189</v>
      </c>
      <c r="T285" s="1529"/>
      <c r="U285" s="1529"/>
      <c r="V285" s="1529"/>
      <c r="W285" s="1529"/>
      <c r="X285" s="1529"/>
      <c r="Y285" s="1529"/>
      <c r="Z285" s="1529"/>
      <c r="AA285" s="1529"/>
      <c r="AB285" s="1529"/>
      <c r="AC285" s="1529"/>
      <c r="AD285" s="1529"/>
      <c r="AE285" s="1409" t="s">
        <v>2200</v>
      </c>
      <c r="AF285" s="1529"/>
      <c r="AG285" s="1529"/>
    </row>
    <row r="286" spans="1:33" ht="15.75" hidden="1" thickBot="1">
      <c r="A286" s="1530"/>
      <c r="B286" s="1532"/>
      <c r="C286" s="1530"/>
      <c r="D286" s="1410" t="s">
        <v>2402</v>
      </c>
      <c r="E286" s="1528" t="s">
        <v>2129</v>
      </c>
      <c r="F286" s="1528" t="s">
        <v>2129</v>
      </c>
      <c r="G286" s="1528" t="s">
        <v>2129</v>
      </c>
      <c r="H286" s="1528" t="s">
        <v>2129</v>
      </c>
      <c r="I286" s="1528" t="s">
        <v>2129</v>
      </c>
      <c r="J286" s="1528" t="s">
        <v>2129</v>
      </c>
      <c r="K286" s="1528" t="s">
        <v>2129</v>
      </c>
      <c r="L286" s="1528" t="s">
        <v>2286</v>
      </c>
      <c r="M286" s="1528">
        <v>166</v>
      </c>
      <c r="N286" s="1528">
        <v>1</v>
      </c>
      <c r="O286" s="1528">
        <v>1</v>
      </c>
      <c r="P286" s="1528"/>
      <c r="Q286" s="1528"/>
      <c r="R286" s="1528"/>
      <c r="S286" s="1528" t="s">
        <v>2129</v>
      </c>
      <c r="T286" s="1528" t="s">
        <v>2129</v>
      </c>
      <c r="U286" s="1528" t="s">
        <v>2129</v>
      </c>
      <c r="V286" s="1528" t="s">
        <v>2129</v>
      </c>
      <c r="W286" s="1528" t="s">
        <v>2129</v>
      </c>
      <c r="X286" s="1528" t="s">
        <v>2129</v>
      </c>
      <c r="Y286" s="1528" t="s">
        <v>2129</v>
      </c>
      <c r="Z286" s="1528" t="s">
        <v>2129</v>
      </c>
      <c r="AA286" s="1528" t="s">
        <v>2129</v>
      </c>
      <c r="AB286" s="1528" t="s">
        <v>2129</v>
      </c>
      <c r="AC286" s="1528" t="s">
        <v>2129</v>
      </c>
      <c r="AD286" s="1528" t="s">
        <v>2129</v>
      </c>
      <c r="AE286" s="1528" t="s">
        <v>2129</v>
      </c>
      <c r="AF286" s="1528" t="s">
        <v>2129</v>
      </c>
      <c r="AG286" s="1528" t="s">
        <v>2129</v>
      </c>
    </row>
    <row r="287" spans="1:33" ht="68.25" hidden="1" thickBot="1">
      <c r="A287" s="1529"/>
      <c r="B287" s="1533"/>
      <c r="C287" s="1529"/>
      <c r="D287" s="1409" t="s">
        <v>2404</v>
      </c>
      <c r="E287" s="1529"/>
      <c r="F287" s="1529"/>
      <c r="G287" s="1529"/>
      <c r="H287" s="1529"/>
      <c r="I287" s="1529"/>
      <c r="J287" s="1529"/>
      <c r="K287" s="1529"/>
      <c r="L287" s="1529"/>
      <c r="M287" s="1529"/>
      <c r="N287" s="1529"/>
      <c r="O287" s="1529"/>
      <c r="P287" s="1529"/>
      <c r="Q287" s="1529"/>
      <c r="R287" s="1529"/>
      <c r="S287" s="1529"/>
      <c r="T287" s="1529"/>
      <c r="U287" s="1529"/>
      <c r="V287" s="1529"/>
      <c r="W287" s="1529"/>
      <c r="X287" s="1529"/>
      <c r="Y287" s="1529"/>
      <c r="Z287" s="1529"/>
      <c r="AA287" s="1529"/>
      <c r="AB287" s="1529"/>
      <c r="AC287" s="1529"/>
      <c r="AD287" s="1529"/>
      <c r="AE287" s="1529"/>
      <c r="AF287" s="1529"/>
      <c r="AG287" s="1529"/>
    </row>
    <row r="288" spans="1:33" ht="60" hidden="1" thickBot="1">
      <c r="A288" s="1528">
        <v>49</v>
      </c>
      <c r="B288" s="1531">
        <v>1.7224300000000002E+35</v>
      </c>
      <c r="C288" s="1528" t="s">
        <v>2405</v>
      </c>
      <c r="D288" s="1528" t="s">
        <v>2406</v>
      </c>
      <c r="E288" s="1528" t="s">
        <v>2407</v>
      </c>
      <c r="F288" s="1528"/>
      <c r="G288" s="1528">
        <v>0</v>
      </c>
      <c r="H288" s="1528">
        <v>0</v>
      </c>
      <c r="I288" s="1528">
        <v>0</v>
      </c>
      <c r="J288" s="1528">
        <v>0</v>
      </c>
      <c r="K288" s="1528">
        <v>0</v>
      </c>
      <c r="L288" s="1528" t="s">
        <v>2129</v>
      </c>
      <c r="M288" s="1528" t="s">
        <v>2129</v>
      </c>
      <c r="N288" s="1528" t="s">
        <v>2129</v>
      </c>
      <c r="O288" s="1528" t="s">
        <v>2129</v>
      </c>
      <c r="P288" s="1528" t="s">
        <v>2129</v>
      </c>
      <c r="Q288" s="1528" t="s">
        <v>2129</v>
      </c>
      <c r="R288" s="1528" t="s">
        <v>2129</v>
      </c>
      <c r="S288" s="1410" t="s">
        <v>2149</v>
      </c>
      <c r="T288" s="1528"/>
      <c r="U288" s="1528"/>
      <c r="V288" s="1528">
        <v>1.2017</v>
      </c>
      <c r="W288" s="1528">
        <v>6.2016999999999998</v>
      </c>
      <c r="X288" s="1528" t="s">
        <v>2281</v>
      </c>
      <c r="Y288" s="1528" t="s">
        <v>2132</v>
      </c>
      <c r="Z288" s="1528" t="s">
        <v>2132</v>
      </c>
      <c r="AA288" s="1528"/>
      <c r="AB288" s="1528"/>
      <c r="AC288" s="1528"/>
      <c r="AD288" s="1528"/>
      <c r="AE288" s="1410" t="s">
        <v>2198</v>
      </c>
      <c r="AF288" s="1528"/>
      <c r="AG288" s="1528" t="s">
        <v>2283</v>
      </c>
    </row>
    <row r="289" spans="1:33" ht="84.75" hidden="1" thickBot="1">
      <c r="A289" s="1530"/>
      <c r="B289" s="1532"/>
      <c r="C289" s="1530"/>
      <c r="D289" s="1529"/>
      <c r="E289" s="1529"/>
      <c r="F289" s="1529"/>
      <c r="G289" s="1529"/>
      <c r="H289" s="1529"/>
      <c r="I289" s="1529"/>
      <c r="J289" s="1529"/>
      <c r="K289" s="1529"/>
      <c r="L289" s="1529"/>
      <c r="M289" s="1529"/>
      <c r="N289" s="1529"/>
      <c r="O289" s="1529"/>
      <c r="P289" s="1529"/>
      <c r="Q289" s="1529"/>
      <c r="R289" s="1529"/>
      <c r="S289" s="1409" t="s">
        <v>2408</v>
      </c>
      <c r="T289" s="1529"/>
      <c r="U289" s="1529"/>
      <c r="V289" s="1529"/>
      <c r="W289" s="1529"/>
      <c r="X289" s="1529"/>
      <c r="Y289" s="1529"/>
      <c r="Z289" s="1529"/>
      <c r="AA289" s="1529"/>
      <c r="AB289" s="1529"/>
      <c r="AC289" s="1529"/>
      <c r="AD289" s="1529"/>
      <c r="AE289" s="1409" t="s">
        <v>2200</v>
      </c>
      <c r="AF289" s="1529"/>
      <c r="AG289" s="1529"/>
    </row>
    <row r="290" spans="1:33" ht="18.75" hidden="1" thickBot="1">
      <c r="A290" s="1530"/>
      <c r="B290" s="1532"/>
      <c r="C290" s="1530"/>
      <c r="D290" s="1410" t="s">
        <v>2409</v>
      </c>
      <c r="E290" s="1528" t="s">
        <v>2129</v>
      </c>
      <c r="F290" s="1528" t="s">
        <v>2129</v>
      </c>
      <c r="G290" s="1528" t="s">
        <v>2129</v>
      </c>
      <c r="H290" s="1528" t="s">
        <v>2129</v>
      </c>
      <c r="I290" s="1528" t="s">
        <v>2129</v>
      </c>
      <c r="J290" s="1528" t="s">
        <v>2129</v>
      </c>
      <c r="K290" s="1528" t="s">
        <v>2129</v>
      </c>
      <c r="L290" s="1528" t="s">
        <v>2410</v>
      </c>
      <c r="M290" s="1528">
        <v>163</v>
      </c>
      <c r="N290" s="1528">
        <v>1500</v>
      </c>
      <c r="O290" s="1528">
        <v>1500</v>
      </c>
      <c r="P290" s="1528"/>
      <c r="Q290" s="1528"/>
      <c r="R290" s="1528"/>
      <c r="S290" s="1528" t="s">
        <v>2129</v>
      </c>
      <c r="T290" s="1528" t="s">
        <v>2129</v>
      </c>
      <c r="U290" s="1528" t="s">
        <v>2129</v>
      </c>
      <c r="V290" s="1528" t="s">
        <v>2129</v>
      </c>
      <c r="W290" s="1528" t="s">
        <v>2129</v>
      </c>
      <c r="X290" s="1528" t="s">
        <v>2129</v>
      </c>
      <c r="Y290" s="1528" t="s">
        <v>2129</v>
      </c>
      <c r="Z290" s="1528" t="s">
        <v>2129</v>
      </c>
      <c r="AA290" s="1528" t="s">
        <v>2129</v>
      </c>
      <c r="AB290" s="1528" t="s">
        <v>2129</v>
      </c>
      <c r="AC290" s="1528" t="s">
        <v>2129</v>
      </c>
      <c r="AD290" s="1528" t="s">
        <v>2129</v>
      </c>
      <c r="AE290" s="1528" t="s">
        <v>2129</v>
      </c>
      <c r="AF290" s="1528" t="s">
        <v>2129</v>
      </c>
      <c r="AG290" s="1528" t="s">
        <v>2129</v>
      </c>
    </row>
    <row r="291" spans="1:33" ht="68.25" hidden="1" thickBot="1">
      <c r="A291" s="1530"/>
      <c r="B291" s="1532"/>
      <c r="C291" s="1530"/>
      <c r="D291" s="1409" t="s">
        <v>2411</v>
      </c>
      <c r="E291" s="1529"/>
      <c r="F291" s="1529"/>
      <c r="G291" s="1529"/>
      <c r="H291" s="1529"/>
      <c r="I291" s="1529"/>
      <c r="J291" s="1529"/>
      <c r="K291" s="1529"/>
      <c r="L291" s="1529"/>
      <c r="M291" s="1529"/>
      <c r="N291" s="1529"/>
      <c r="O291" s="1529"/>
      <c r="P291" s="1529"/>
      <c r="Q291" s="1529"/>
      <c r="R291" s="1529"/>
      <c r="S291" s="1529"/>
      <c r="T291" s="1529"/>
      <c r="U291" s="1529"/>
      <c r="V291" s="1529"/>
      <c r="W291" s="1529"/>
      <c r="X291" s="1529"/>
      <c r="Y291" s="1529"/>
      <c r="Z291" s="1529"/>
      <c r="AA291" s="1529"/>
      <c r="AB291" s="1529"/>
      <c r="AC291" s="1529"/>
      <c r="AD291" s="1529"/>
      <c r="AE291" s="1529"/>
      <c r="AF291" s="1529"/>
      <c r="AG291" s="1529"/>
    </row>
    <row r="292" spans="1:33" ht="15.75" hidden="1" thickBot="1">
      <c r="A292" s="1530"/>
      <c r="B292" s="1532"/>
      <c r="C292" s="1530"/>
      <c r="D292" s="1410" t="s">
        <v>503</v>
      </c>
      <c r="E292" s="1528" t="s">
        <v>2129</v>
      </c>
      <c r="F292" s="1528" t="s">
        <v>2129</v>
      </c>
      <c r="G292" s="1528" t="s">
        <v>2129</v>
      </c>
      <c r="H292" s="1528" t="s">
        <v>2129</v>
      </c>
      <c r="I292" s="1528" t="s">
        <v>2129</v>
      </c>
      <c r="J292" s="1528" t="s">
        <v>2129</v>
      </c>
      <c r="K292" s="1528" t="s">
        <v>2129</v>
      </c>
      <c r="L292" s="1528" t="s">
        <v>2286</v>
      </c>
      <c r="M292" s="1528">
        <v>166</v>
      </c>
      <c r="N292" s="1528">
        <v>150</v>
      </c>
      <c r="O292" s="1528">
        <v>150</v>
      </c>
      <c r="P292" s="1528"/>
      <c r="Q292" s="1528"/>
      <c r="R292" s="1528"/>
      <c r="S292" s="1528" t="s">
        <v>2129</v>
      </c>
      <c r="T292" s="1528" t="s">
        <v>2129</v>
      </c>
      <c r="U292" s="1528" t="s">
        <v>2129</v>
      </c>
      <c r="V292" s="1528" t="s">
        <v>2129</v>
      </c>
      <c r="W292" s="1528" t="s">
        <v>2129</v>
      </c>
      <c r="X292" s="1528" t="s">
        <v>2129</v>
      </c>
      <c r="Y292" s="1528" t="s">
        <v>2129</v>
      </c>
      <c r="Z292" s="1528" t="s">
        <v>2129</v>
      </c>
      <c r="AA292" s="1528" t="s">
        <v>2129</v>
      </c>
      <c r="AB292" s="1528" t="s">
        <v>2129</v>
      </c>
      <c r="AC292" s="1528" t="s">
        <v>2129</v>
      </c>
      <c r="AD292" s="1528" t="s">
        <v>2129</v>
      </c>
      <c r="AE292" s="1528" t="s">
        <v>2129</v>
      </c>
      <c r="AF292" s="1528" t="s">
        <v>2129</v>
      </c>
      <c r="AG292" s="1528" t="s">
        <v>2129</v>
      </c>
    </row>
    <row r="293" spans="1:33" ht="60" hidden="1" thickBot="1">
      <c r="A293" s="1530"/>
      <c r="B293" s="1532"/>
      <c r="C293" s="1530"/>
      <c r="D293" s="1409" t="s">
        <v>2412</v>
      </c>
      <c r="E293" s="1529"/>
      <c r="F293" s="1529"/>
      <c r="G293" s="1529"/>
      <c r="H293" s="1529"/>
      <c r="I293" s="1529"/>
      <c r="J293" s="1529"/>
      <c r="K293" s="1529"/>
      <c r="L293" s="1529"/>
      <c r="M293" s="1529"/>
      <c r="N293" s="1529"/>
      <c r="O293" s="1529"/>
      <c r="P293" s="1529"/>
      <c r="Q293" s="1529"/>
      <c r="R293" s="1529"/>
      <c r="S293" s="1529"/>
      <c r="T293" s="1529"/>
      <c r="U293" s="1529"/>
      <c r="V293" s="1529"/>
      <c r="W293" s="1529"/>
      <c r="X293" s="1529"/>
      <c r="Y293" s="1529"/>
      <c r="Z293" s="1529"/>
      <c r="AA293" s="1529"/>
      <c r="AB293" s="1529"/>
      <c r="AC293" s="1529"/>
      <c r="AD293" s="1529"/>
      <c r="AE293" s="1529"/>
      <c r="AF293" s="1529"/>
      <c r="AG293" s="1529"/>
    </row>
    <row r="294" spans="1:33" ht="15.75" hidden="1" thickBot="1">
      <c r="A294" s="1530"/>
      <c r="B294" s="1532"/>
      <c r="C294" s="1530"/>
      <c r="D294" s="1410" t="s">
        <v>2413</v>
      </c>
      <c r="E294" s="1528" t="s">
        <v>2129</v>
      </c>
      <c r="F294" s="1528" t="s">
        <v>2129</v>
      </c>
      <c r="G294" s="1528" t="s">
        <v>2129</v>
      </c>
      <c r="H294" s="1528" t="s">
        <v>2129</v>
      </c>
      <c r="I294" s="1528" t="s">
        <v>2129</v>
      </c>
      <c r="J294" s="1528" t="s">
        <v>2129</v>
      </c>
      <c r="K294" s="1528" t="s">
        <v>2129</v>
      </c>
      <c r="L294" s="1528" t="s">
        <v>2286</v>
      </c>
      <c r="M294" s="1528">
        <v>166</v>
      </c>
      <c r="N294" s="1528">
        <v>30</v>
      </c>
      <c r="O294" s="1528">
        <v>30</v>
      </c>
      <c r="P294" s="1528"/>
      <c r="Q294" s="1528"/>
      <c r="R294" s="1528"/>
      <c r="S294" s="1528" t="s">
        <v>2129</v>
      </c>
      <c r="T294" s="1528" t="s">
        <v>2129</v>
      </c>
      <c r="U294" s="1528" t="s">
        <v>2129</v>
      </c>
      <c r="V294" s="1528" t="s">
        <v>2129</v>
      </c>
      <c r="W294" s="1528" t="s">
        <v>2129</v>
      </c>
      <c r="X294" s="1528" t="s">
        <v>2129</v>
      </c>
      <c r="Y294" s="1528" t="s">
        <v>2129</v>
      </c>
      <c r="Z294" s="1528" t="s">
        <v>2129</v>
      </c>
      <c r="AA294" s="1528" t="s">
        <v>2129</v>
      </c>
      <c r="AB294" s="1528" t="s">
        <v>2129</v>
      </c>
      <c r="AC294" s="1528" t="s">
        <v>2129</v>
      </c>
      <c r="AD294" s="1528" t="s">
        <v>2129</v>
      </c>
      <c r="AE294" s="1528" t="s">
        <v>2129</v>
      </c>
      <c r="AF294" s="1528" t="s">
        <v>2129</v>
      </c>
      <c r="AG294" s="1528" t="s">
        <v>2129</v>
      </c>
    </row>
    <row r="295" spans="1:33" ht="68.25" hidden="1" thickBot="1">
      <c r="A295" s="1530"/>
      <c r="B295" s="1532"/>
      <c r="C295" s="1530"/>
      <c r="D295" s="1409" t="s">
        <v>2414</v>
      </c>
      <c r="E295" s="1529"/>
      <c r="F295" s="1529"/>
      <c r="G295" s="1529"/>
      <c r="H295" s="1529"/>
      <c r="I295" s="1529"/>
      <c r="J295" s="1529"/>
      <c r="K295" s="1529"/>
      <c r="L295" s="1529"/>
      <c r="M295" s="1529"/>
      <c r="N295" s="1529"/>
      <c r="O295" s="1529"/>
      <c r="P295" s="1529"/>
      <c r="Q295" s="1529"/>
      <c r="R295" s="1529"/>
      <c r="S295" s="1529"/>
      <c r="T295" s="1529"/>
      <c r="U295" s="1529"/>
      <c r="V295" s="1529"/>
      <c r="W295" s="1529"/>
      <c r="X295" s="1529"/>
      <c r="Y295" s="1529"/>
      <c r="Z295" s="1529"/>
      <c r="AA295" s="1529"/>
      <c r="AB295" s="1529"/>
      <c r="AC295" s="1529"/>
      <c r="AD295" s="1529"/>
      <c r="AE295" s="1529"/>
      <c r="AF295" s="1529"/>
      <c r="AG295" s="1529"/>
    </row>
    <row r="296" spans="1:33" ht="18.75" hidden="1" thickBot="1">
      <c r="A296" s="1530"/>
      <c r="B296" s="1532"/>
      <c r="C296" s="1530"/>
      <c r="D296" s="1410" t="s">
        <v>2415</v>
      </c>
      <c r="E296" s="1528" t="s">
        <v>2129</v>
      </c>
      <c r="F296" s="1528" t="s">
        <v>2129</v>
      </c>
      <c r="G296" s="1528" t="s">
        <v>2129</v>
      </c>
      <c r="H296" s="1528" t="s">
        <v>2129</v>
      </c>
      <c r="I296" s="1528" t="s">
        <v>2129</v>
      </c>
      <c r="J296" s="1528" t="s">
        <v>2129</v>
      </c>
      <c r="K296" s="1528" t="s">
        <v>2129</v>
      </c>
      <c r="L296" s="1528" t="s">
        <v>2410</v>
      </c>
      <c r="M296" s="1528">
        <v>163</v>
      </c>
      <c r="N296" s="1528">
        <v>2000</v>
      </c>
      <c r="O296" s="1528">
        <v>2000</v>
      </c>
      <c r="P296" s="1528"/>
      <c r="Q296" s="1528"/>
      <c r="R296" s="1528"/>
      <c r="S296" s="1528" t="s">
        <v>2129</v>
      </c>
      <c r="T296" s="1528" t="s">
        <v>2129</v>
      </c>
      <c r="U296" s="1528" t="s">
        <v>2129</v>
      </c>
      <c r="V296" s="1528" t="s">
        <v>2129</v>
      </c>
      <c r="W296" s="1528" t="s">
        <v>2129</v>
      </c>
      <c r="X296" s="1528" t="s">
        <v>2129</v>
      </c>
      <c r="Y296" s="1528" t="s">
        <v>2129</v>
      </c>
      <c r="Z296" s="1528" t="s">
        <v>2129</v>
      </c>
      <c r="AA296" s="1528" t="s">
        <v>2129</v>
      </c>
      <c r="AB296" s="1528" t="s">
        <v>2129</v>
      </c>
      <c r="AC296" s="1528" t="s">
        <v>2129</v>
      </c>
      <c r="AD296" s="1528" t="s">
        <v>2129</v>
      </c>
      <c r="AE296" s="1528" t="s">
        <v>2129</v>
      </c>
      <c r="AF296" s="1528" t="s">
        <v>2129</v>
      </c>
      <c r="AG296" s="1528" t="s">
        <v>2129</v>
      </c>
    </row>
    <row r="297" spans="1:33" ht="68.25" hidden="1" thickBot="1">
      <c r="A297" s="1530"/>
      <c r="B297" s="1532"/>
      <c r="C297" s="1530"/>
      <c r="D297" s="1409" t="s">
        <v>2416</v>
      </c>
      <c r="E297" s="1529"/>
      <c r="F297" s="1529"/>
      <c r="G297" s="1529"/>
      <c r="H297" s="1529"/>
      <c r="I297" s="1529"/>
      <c r="J297" s="1529"/>
      <c r="K297" s="1529"/>
      <c r="L297" s="1529"/>
      <c r="M297" s="1529"/>
      <c r="N297" s="1529"/>
      <c r="O297" s="1529"/>
      <c r="P297" s="1529"/>
      <c r="Q297" s="1529"/>
      <c r="R297" s="1529"/>
      <c r="S297" s="1529"/>
      <c r="T297" s="1529"/>
      <c r="U297" s="1529"/>
      <c r="V297" s="1529"/>
      <c r="W297" s="1529"/>
      <c r="X297" s="1529"/>
      <c r="Y297" s="1529"/>
      <c r="Z297" s="1529"/>
      <c r="AA297" s="1529"/>
      <c r="AB297" s="1529"/>
      <c r="AC297" s="1529"/>
      <c r="AD297" s="1529"/>
      <c r="AE297" s="1529"/>
      <c r="AF297" s="1529"/>
      <c r="AG297" s="1529"/>
    </row>
    <row r="298" spans="1:33" ht="15.75" hidden="1" thickBot="1">
      <c r="A298" s="1530"/>
      <c r="B298" s="1532"/>
      <c r="C298" s="1530"/>
      <c r="D298" s="1409" t="s">
        <v>2402</v>
      </c>
      <c r="E298" s="1409" t="s">
        <v>2129</v>
      </c>
      <c r="F298" s="1409" t="s">
        <v>2129</v>
      </c>
      <c r="G298" s="1409" t="s">
        <v>2129</v>
      </c>
      <c r="H298" s="1409" t="s">
        <v>2129</v>
      </c>
      <c r="I298" s="1409" t="s">
        <v>2129</v>
      </c>
      <c r="J298" s="1409" t="s">
        <v>2129</v>
      </c>
      <c r="K298" s="1409" t="s">
        <v>2129</v>
      </c>
      <c r="L298" s="1409" t="s">
        <v>2286</v>
      </c>
      <c r="M298" s="1409">
        <v>166</v>
      </c>
      <c r="N298" s="1409">
        <v>10</v>
      </c>
      <c r="O298" s="1409">
        <v>10</v>
      </c>
      <c r="P298" s="1409"/>
      <c r="Q298" s="1409"/>
      <c r="R298" s="1409"/>
      <c r="S298" s="1409" t="s">
        <v>2129</v>
      </c>
      <c r="T298" s="1409" t="s">
        <v>2129</v>
      </c>
      <c r="U298" s="1409" t="s">
        <v>2129</v>
      </c>
      <c r="V298" s="1409" t="s">
        <v>2129</v>
      </c>
      <c r="W298" s="1409" t="s">
        <v>2129</v>
      </c>
      <c r="X298" s="1409" t="s">
        <v>2129</v>
      </c>
      <c r="Y298" s="1409" t="s">
        <v>2129</v>
      </c>
      <c r="Z298" s="1409" t="s">
        <v>2129</v>
      </c>
      <c r="AA298" s="1409" t="s">
        <v>2129</v>
      </c>
      <c r="AB298" s="1409" t="s">
        <v>2129</v>
      </c>
      <c r="AC298" s="1409" t="s">
        <v>2129</v>
      </c>
      <c r="AD298" s="1409" t="s">
        <v>2129</v>
      </c>
      <c r="AE298" s="1409" t="s">
        <v>2129</v>
      </c>
      <c r="AF298" s="1409" t="s">
        <v>2129</v>
      </c>
      <c r="AG298" s="1409" t="s">
        <v>2129</v>
      </c>
    </row>
    <row r="299" spans="1:33" ht="15.75" hidden="1" thickBot="1">
      <c r="A299" s="1530"/>
      <c r="B299" s="1532"/>
      <c r="C299" s="1530"/>
      <c r="D299" s="1409" t="s">
        <v>2417</v>
      </c>
      <c r="E299" s="1409" t="s">
        <v>2129</v>
      </c>
      <c r="F299" s="1409" t="s">
        <v>2129</v>
      </c>
      <c r="G299" s="1409" t="s">
        <v>2129</v>
      </c>
      <c r="H299" s="1409" t="s">
        <v>2129</v>
      </c>
      <c r="I299" s="1409" t="s">
        <v>2129</v>
      </c>
      <c r="J299" s="1409" t="s">
        <v>2129</v>
      </c>
      <c r="K299" s="1409" t="s">
        <v>2129</v>
      </c>
      <c r="L299" s="1409" t="s">
        <v>2410</v>
      </c>
      <c r="M299" s="1409">
        <v>163</v>
      </c>
      <c r="N299" s="1409">
        <v>2000</v>
      </c>
      <c r="O299" s="1409">
        <v>2000</v>
      </c>
      <c r="P299" s="1409"/>
      <c r="Q299" s="1409"/>
      <c r="R299" s="1409"/>
      <c r="S299" s="1409" t="s">
        <v>2129</v>
      </c>
      <c r="T299" s="1409" t="s">
        <v>2129</v>
      </c>
      <c r="U299" s="1409" t="s">
        <v>2129</v>
      </c>
      <c r="V299" s="1409" t="s">
        <v>2129</v>
      </c>
      <c r="W299" s="1409" t="s">
        <v>2129</v>
      </c>
      <c r="X299" s="1409" t="s">
        <v>2129</v>
      </c>
      <c r="Y299" s="1409" t="s">
        <v>2129</v>
      </c>
      <c r="Z299" s="1409" t="s">
        <v>2129</v>
      </c>
      <c r="AA299" s="1409" t="s">
        <v>2129</v>
      </c>
      <c r="AB299" s="1409" t="s">
        <v>2129</v>
      </c>
      <c r="AC299" s="1409" t="s">
        <v>2129</v>
      </c>
      <c r="AD299" s="1409" t="s">
        <v>2129</v>
      </c>
      <c r="AE299" s="1409" t="s">
        <v>2129</v>
      </c>
      <c r="AF299" s="1409" t="s">
        <v>2129</v>
      </c>
      <c r="AG299" s="1409" t="s">
        <v>2129</v>
      </c>
    </row>
    <row r="300" spans="1:33" ht="15.75" hidden="1" thickBot="1">
      <c r="A300" s="1530"/>
      <c r="B300" s="1532"/>
      <c r="C300" s="1530"/>
      <c r="D300" s="1410" t="s">
        <v>2418</v>
      </c>
      <c r="E300" s="1528" t="s">
        <v>2129</v>
      </c>
      <c r="F300" s="1528" t="s">
        <v>2129</v>
      </c>
      <c r="G300" s="1528" t="s">
        <v>2129</v>
      </c>
      <c r="H300" s="1528" t="s">
        <v>2129</v>
      </c>
      <c r="I300" s="1528" t="s">
        <v>2129</v>
      </c>
      <c r="J300" s="1528" t="s">
        <v>2129</v>
      </c>
      <c r="K300" s="1528" t="s">
        <v>2129</v>
      </c>
      <c r="L300" s="1528" t="s">
        <v>2410</v>
      </c>
      <c r="M300" s="1528">
        <v>163</v>
      </c>
      <c r="N300" s="1528">
        <v>2000</v>
      </c>
      <c r="O300" s="1528">
        <v>2000</v>
      </c>
      <c r="P300" s="1528"/>
      <c r="Q300" s="1528"/>
      <c r="R300" s="1528"/>
      <c r="S300" s="1528" t="s">
        <v>2129</v>
      </c>
      <c r="T300" s="1528" t="s">
        <v>2129</v>
      </c>
      <c r="U300" s="1528" t="s">
        <v>2129</v>
      </c>
      <c r="V300" s="1528" t="s">
        <v>2129</v>
      </c>
      <c r="W300" s="1528" t="s">
        <v>2129</v>
      </c>
      <c r="X300" s="1528" t="s">
        <v>2129</v>
      </c>
      <c r="Y300" s="1528" t="s">
        <v>2129</v>
      </c>
      <c r="Z300" s="1528" t="s">
        <v>2129</v>
      </c>
      <c r="AA300" s="1528" t="s">
        <v>2129</v>
      </c>
      <c r="AB300" s="1528" t="s">
        <v>2129</v>
      </c>
      <c r="AC300" s="1528" t="s">
        <v>2129</v>
      </c>
      <c r="AD300" s="1528" t="s">
        <v>2129</v>
      </c>
      <c r="AE300" s="1528" t="s">
        <v>2129</v>
      </c>
      <c r="AF300" s="1528" t="s">
        <v>2129</v>
      </c>
      <c r="AG300" s="1528" t="s">
        <v>2129</v>
      </c>
    </row>
    <row r="301" spans="1:33" ht="76.5" hidden="1" thickBot="1">
      <c r="A301" s="1529"/>
      <c r="B301" s="1533"/>
      <c r="C301" s="1529"/>
      <c r="D301" s="1409" t="s">
        <v>2419</v>
      </c>
      <c r="E301" s="1529"/>
      <c r="F301" s="1529"/>
      <c r="G301" s="1529"/>
      <c r="H301" s="1529"/>
      <c r="I301" s="1529"/>
      <c r="J301" s="1529"/>
      <c r="K301" s="1529"/>
      <c r="L301" s="1529"/>
      <c r="M301" s="1529"/>
      <c r="N301" s="1529"/>
      <c r="O301" s="1529"/>
      <c r="P301" s="1529"/>
      <c r="Q301" s="1529"/>
      <c r="R301" s="1529"/>
      <c r="S301" s="1529"/>
      <c r="T301" s="1529"/>
      <c r="U301" s="1529"/>
      <c r="V301" s="1529"/>
      <c r="W301" s="1529"/>
      <c r="X301" s="1529"/>
      <c r="Y301" s="1529"/>
      <c r="Z301" s="1529"/>
      <c r="AA301" s="1529"/>
      <c r="AB301" s="1529"/>
      <c r="AC301" s="1529"/>
      <c r="AD301" s="1529"/>
      <c r="AE301" s="1529"/>
      <c r="AF301" s="1529"/>
      <c r="AG301" s="1529"/>
    </row>
    <row r="302" spans="1:33" ht="25.5" hidden="1" customHeight="1">
      <c r="A302" s="1528">
        <v>50</v>
      </c>
      <c r="B302" s="1531">
        <v>1.7224300000000002E+35</v>
      </c>
      <c r="C302" s="1528" t="s">
        <v>2420</v>
      </c>
      <c r="D302" s="1528" t="s">
        <v>2421</v>
      </c>
      <c r="E302" s="1528">
        <v>0</v>
      </c>
      <c r="F302" s="1528"/>
      <c r="G302" s="1528">
        <v>0</v>
      </c>
      <c r="H302" s="1528">
        <v>0</v>
      </c>
      <c r="I302" s="1528">
        <v>0</v>
      </c>
      <c r="J302" s="1528">
        <v>0</v>
      </c>
      <c r="K302" s="1528">
        <v>0</v>
      </c>
      <c r="L302" s="1528" t="s">
        <v>2129</v>
      </c>
      <c r="M302" s="1528" t="s">
        <v>2129</v>
      </c>
      <c r="N302" s="1528" t="s">
        <v>2129</v>
      </c>
      <c r="O302" s="1528" t="s">
        <v>2129</v>
      </c>
      <c r="P302" s="1528" t="s">
        <v>2129</v>
      </c>
      <c r="Q302" s="1528" t="s">
        <v>2129</v>
      </c>
      <c r="R302" s="1528" t="s">
        <v>2129</v>
      </c>
      <c r="S302" s="1410" t="s">
        <v>2422</v>
      </c>
      <c r="T302" s="1528"/>
      <c r="U302" s="1528"/>
      <c r="V302" s="1528">
        <v>5.2016999999999998</v>
      </c>
      <c r="W302" s="1528">
        <v>12.201700000000001</v>
      </c>
      <c r="X302" s="1528" t="s">
        <v>2131</v>
      </c>
      <c r="Y302" s="1528" t="s">
        <v>2132</v>
      </c>
      <c r="Z302" s="1528" t="s">
        <v>2132</v>
      </c>
      <c r="AA302" s="1528"/>
      <c r="AB302" s="1528"/>
      <c r="AC302" s="1528"/>
      <c r="AD302" s="1528"/>
      <c r="AE302" s="1410" t="s">
        <v>2198</v>
      </c>
      <c r="AF302" s="1528"/>
      <c r="AG302" s="1528"/>
    </row>
    <row r="303" spans="1:33" ht="84.75" hidden="1" thickBot="1">
      <c r="A303" s="1530"/>
      <c r="B303" s="1532"/>
      <c r="C303" s="1530"/>
      <c r="D303" s="1529"/>
      <c r="E303" s="1529"/>
      <c r="F303" s="1529"/>
      <c r="G303" s="1529"/>
      <c r="H303" s="1529"/>
      <c r="I303" s="1529"/>
      <c r="J303" s="1529"/>
      <c r="K303" s="1529"/>
      <c r="L303" s="1529"/>
      <c r="M303" s="1529"/>
      <c r="N303" s="1529"/>
      <c r="O303" s="1529"/>
      <c r="P303" s="1529"/>
      <c r="Q303" s="1529"/>
      <c r="R303" s="1529"/>
      <c r="S303" s="1409" t="s">
        <v>2239</v>
      </c>
      <c r="T303" s="1529"/>
      <c r="U303" s="1529"/>
      <c r="V303" s="1529"/>
      <c r="W303" s="1529"/>
      <c r="X303" s="1529"/>
      <c r="Y303" s="1529"/>
      <c r="Z303" s="1529"/>
      <c r="AA303" s="1529"/>
      <c r="AB303" s="1529"/>
      <c r="AC303" s="1529"/>
      <c r="AD303" s="1529"/>
      <c r="AE303" s="1409" t="s">
        <v>2200</v>
      </c>
      <c r="AF303" s="1529"/>
      <c r="AG303" s="1529"/>
    </row>
    <row r="304" spans="1:33" ht="15.75" hidden="1" thickBot="1">
      <c r="A304" s="1530"/>
      <c r="B304" s="1532"/>
      <c r="C304" s="1530"/>
      <c r="D304" s="1410" t="s">
        <v>530</v>
      </c>
      <c r="E304" s="1528" t="s">
        <v>2129</v>
      </c>
      <c r="F304" s="1528" t="s">
        <v>2129</v>
      </c>
      <c r="G304" s="1528" t="s">
        <v>2129</v>
      </c>
      <c r="H304" s="1528" t="s">
        <v>2129</v>
      </c>
      <c r="I304" s="1528" t="s">
        <v>2129</v>
      </c>
      <c r="J304" s="1528" t="s">
        <v>2129</v>
      </c>
      <c r="K304" s="1528" t="s">
        <v>2129</v>
      </c>
      <c r="L304" s="1528" t="s">
        <v>2166</v>
      </c>
      <c r="M304" s="1528">
        <v>796</v>
      </c>
      <c r="N304" s="1528">
        <v>1450</v>
      </c>
      <c r="O304" s="1528">
        <v>1450</v>
      </c>
      <c r="P304" s="1528"/>
      <c r="Q304" s="1528"/>
      <c r="R304" s="1528"/>
      <c r="S304" s="1528" t="s">
        <v>2129</v>
      </c>
      <c r="T304" s="1528" t="s">
        <v>2129</v>
      </c>
      <c r="U304" s="1528" t="s">
        <v>2129</v>
      </c>
      <c r="V304" s="1528" t="s">
        <v>2129</v>
      </c>
      <c r="W304" s="1528" t="s">
        <v>2129</v>
      </c>
      <c r="X304" s="1528" t="s">
        <v>2129</v>
      </c>
      <c r="Y304" s="1528" t="s">
        <v>2129</v>
      </c>
      <c r="Z304" s="1528" t="s">
        <v>2129</v>
      </c>
      <c r="AA304" s="1528" t="s">
        <v>2129</v>
      </c>
      <c r="AB304" s="1528" t="s">
        <v>2129</v>
      </c>
      <c r="AC304" s="1528" t="s">
        <v>2129</v>
      </c>
      <c r="AD304" s="1528" t="s">
        <v>2129</v>
      </c>
      <c r="AE304" s="1528" t="s">
        <v>2129</v>
      </c>
      <c r="AF304" s="1528" t="s">
        <v>2129</v>
      </c>
      <c r="AG304" s="1528" t="s">
        <v>2129</v>
      </c>
    </row>
    <row r="305" spans="1:33" ht="68.25" hidden="1" thickBot="1">
      <c r="A305" s="1529"/>
      <c r="B305" s="1533"/>
      <c r="C305" s="1529"/>
      <c r="D305" s="1409" t="s">
        <v>2423</v>
      </c>
      <c r="E305" s="1529"/>
      <c r="F305" s="1529"/>
      <c r="G305" s="1529"/>
      <c r="H305" s="1529"/>
      <c r="I305" s="1529"/>
      <c r="J305" s="1529"/>
      <c r="K305" s="1529"/>
      <c r="L305" s="1529"/>
      <c r="M305" s="1529"/>
      <c r="N305" s="1529"/>
      <c r="O305" s="1529"/>
      <c r="P305" s="1529"/>
      <c r="Q305" s="1529"/>
      <c r="R305" s="1529"/>
      <c r="S305" s="1529"/>
      <c r="T305" s="1529"/>
      <c r="U305" s="1529"/>
      <c r="V305" s="1529"/>
      <c r="W305" s="1529"/>
      <c r="X305" s="1529"/>
      <c r="Y305" s="1529"/>
      <c r="Z305" s="1529"/>
      <c r="AA305" s="1529"/>
      <c r="AB305" s="1529"/>
      <c r="AC305" s="1529"/>
      <c r="AD305" s="1529"/>
      <c r="AE305" s="1529"/>
      <c r="AF305" s="1529"/>
      <c r="AG305" s="1529"/>
    </row>
    <row r="306" spans="1:33" ht="25.5" hidden="1" customHeight="1">
      <c r="A306" s="1528">
        <v>51</v>
      </c>
      <c r="B306" s="1531">
        <v>1.7224300000000002E+35</v>
      </c>
      <c r="C306" s="1528" t="s">
        <v>2424</v>
      </c>
      <c r="D306" s="1528" t="s">
        <v>2425</v>
      </c>
      <c r="E306" s="1528">
        <v>403798.02</v>
      </c>
      <c r="F306" s="1528"/>
      <c r="G306" s="1528">
        <v>403798.02</v>
      </c>
      <c r="H306" s="1528">
        <v>0</v>
      </c>
      <c r="I306" s="1528">
        <v>403798.02</v>
      </c>
      <c r="J306" s="1528">
        <v>0</v>
      </c>
      <c r="K306" s="1528">
        <v>0</v>
      </c>
      <c r="L306" s="1528" t="s">
        <v>2129</v>
      </c>
      <c r="M306" s="1528" t="s">
        <v>2129</v>
      </c>
      <c r="N306" s="1528" t="s">
        <v>2129</v>
      </c>
      <c r="O306" s="1528" t="s">
        <v>2129</v>
      </c>
      <c r="P306" s="1528" t="s">
        <v>2129</v>
      </c>
      <c r="Q306" s="1528" t="s">
        <v>2129</v>
      </c>
      <c r="R306" s="1528" t="s">
        <v>2129</v>
      </c>
      <c r="S306" s="1410" t="s">
        <v>2169</v>
      </c>
      <c r="T306" s="1528"/>
      <c r="U306" s="1528"/>
      <c r="V306" s="1528">
        <v>1.2017</v>
      </c>
      <c r="W306" s="1528">
        <v>6.2016999999999998</v>
      </c>
      <c r="X306" s="1528" t="s">
        <v>2131</v>
      </c>
      <c r="Y306" s="1528" t="s">
        <v>2132</v>
      </c>
      <c r="Z306" s="1528" t="s">
        <v>2132</v>
      </c>
      <c r="AA306" s="1528"/>
      <c r="AB306" s="1528"/>
      <c r="AC306" s="1528"/>
      <c r="AD306" s="1528" t="s">
        <v>2133</v>
      </c>
      <c r="AE306" s="1410" t="s">
        <v>2198</v>
      </c>
      <c r="AF306" s="1528"/>
      <c r="AG306" s="1528"/>
    </row>
    <row r="307" spans="1:33" ht="84.75" hidden="1" thickBot="1">
      <c r="A307" s="1530"/>
      <c r="B307" s="1532"/>
      <c r="C307" s="1530"/>
      <c r="D307" s="1529"/>
      <c r="E307" s="1529"/>
      <c r="F307" s="1529"/>
      <c r="G307" s="1529"/>
      <c r="H307" s="1529"/>
      <c r="I307" s="1529"/>
      <c r="J307" s="1529"/>
      <c r="K307" s="1529"/>
      <c r="L307" s="1529"/>
      <c r="M307" s="1529"/>
      <c r="N307" s="1529"/>
      <c r="O307" s="1529"/>
      <c r="P307" s="1529"/>
      <c r="Q307" s="1529"/>
      <c r="R307" s="1529"/>
      <c r="S307" s="1409" t="s">
        <v>2426</v>
      </c>
      <c r="T307" s="1529"/>
      <c r="U307" s="1529"/>
      <c r="V307" s="1529"/>
      <c r="W307" s="1529"/>
      <c r="X307" s="1529"/>
      <c r="Y307" s="1529"/>
      <c r="Z307" s="1529"/>
      <c r="AA307" s="1529"/>
      <c r="AB307" s="1529"/>
      <c r="AC307" s="1529"/>
      <c r="AD307" s="1529"/>
      <c r="AE307" s="1409" t="s">
        <v>2200</v>
      </c>
      <c r="AF307" s="1529"/>
      <c r="AG307" s="1529"/>
    </row>
    <row r="308" spans="1:33" ht="18.75" hidden="1" thickBot="1">
      <c r="A308" s="1530"/>
      <c r="B308" s="1532"/>
      <c r="C308" s="1530"/>
      <c r="D308" s="1410" t="s">
        <v>2427</v>
      </c>
      <c r="E308" s="1528" t="s">
        <v>2129</v>
      </c>
      <c r="F308" s="1528" t="s">
        <v>2129</v>
      </c>
      <c r="G308" s="1528" t="s">
        <v>2129</v>
      </c>
      <c r="H308" s="1528" t="s">
        <v>2129</v>
      </c>
      <c r="I308" s="1528" t="s">
        <v>2129</v>
      </c>
      <c r="J308" s="1528" t="s">
        <v>2129</v>
      </c>
      <c r="K308" s="1528" t="s">
        <v>2129</v>
      </c>
      <c r="L308" s="1528" t="s">
        <v>2339</v>
      </c>
      <c r="M308" s="1528">
        <v>112</v>
      </c>
      <c r="N308" s="1528">
        <v>12000</v>
      </c>
      <c r="O308" s="1528">
        <v>12000</v>
      </c>
      <c r="P308" s="1528"/>
      <c r="Q308" s="1528"/>
      <c r="R308" s="1528"/>
      <c r="S308" s="1528" t="s">
        <v>2129</v>
      </c>
      <c r="T308" s="1528" t="s">
        <v>2129</v>
      </c>
      <c r="U308" s="1528" t="s">
        <v>2129</v>
      </c>
      <c r="V308" s="1528" t="s">
        <v>2129</v>
      </c>
      <c r="W308" s="1528" t="s">
        <v>2129</v>
      </c>
      <c r="X308" s="1528" t="s">
        <v>2129</v>
      </c>
      <c r="Y308" s="1528" t="s">
        <v>2129</v>
      </c>
      <c r="Z308" s="1528" t="s">
        <v>2129</v>
      </c>
      <c r="AA308" s="1528" t="s">
        <v>2129</v>
      </c>
      <c r="AB308" s="1528" t="s">
        <v>2129</v>
      </c>
      <c r="AC308" s="1528" t="s">
        <v>2129</v>
      </c>
      <c r="AD308" s="1528" t="s">
        <v>2129</v>
      </c>
      <c r="AE308" s="1528" t="s">
        <v>2129</v>
      </c>
      <c r="AF308" s="1528" t="s">
        <v>2129</v>
      </c>
      <c r="AG308" s="1528" t="s">
        <v>2129</v>
      </c>
    </row>
    <row r="309" spans="1:33" ht="60" hidden="1" thickBot="1">
      <c r="A309" s="1529"/>
      <c r="B309" s="1533"/>
      <c r="C309" s="1529"/>
      <c r="D309" s="1409" t="s">
        <v>2428</v>
      </c>
      <c r="E309" s="1529"/>
      <c r="F309" s="1529"/>
      <c r="G309" s="1529"/>
      <c r="H309" s="1529"/>
      <c r="I309" s="1529"/>
      <c r="J309" s="1529"/>
      <c r="K309" s="1529"/>
      <c r="L309" s="1529"/>
      <c r="M309" s="1529"/>
      <c r="N309" s="1529"/>
      <c r="O309" s="1529"/>
      <c r="P309" s="1529"/>
      <c r="Q309" s="1529"/>
      <c r="R309" s="1529"/>
      <c r="S309" s="1529"/>
      <c r="T309" s="1529"/>
      <c r="U309" s="1529"/>
      <c r="V309" s="1529"/>
      <c r="W309" s="1529"/>
      <c r="X309" s="1529"/>
      <c r="Y309" s="1529"/>
      <c r="Z309" s="1529"/>
      <c r="AA309" s="1529"/>
      <c r="AB309" s="1529"/>
      <c r="AC309" s="1529"/>
      <c r="AD309" s="1529"/>
      <c r="AE309" s="1529"/>
      <c r="AF309" s="1529"/>
      <c r="AG309" s="1529"/>
    </row>
    <row r="310" spans="1:33" ht="60" hidden="1" thickBot="1">
      <c r="A310" s="1528">
        <v>52</v>
      </c>
      <c r="B310" s="1531">
        <v>1.7224300000000002E+35</v>
      </c>
      <c r="C310" s="1528" t="s">
        <v>2424</v>
      </c>
      <c r="D310" s="1528" t="s">
        <v>2429</v>
      </c>
      <c r="E310" s="1528">
        <v>307403</v>
      </c>
      <c r="F310" s="1528"/>
      <c r="G310" s="1528">
        <v>307403</v>
      </c>
      <c r="H310" s="1528">
        <v>307403</v>
      </c>
      <c r="I310" s="1528">
        <v>0</v>
      </c>
      <c r="J310" s="1528">
        <v>0</v>
      </c>
      <c r="K310" s="1528">
        <v>0</v>
      </c>
      <c r="L310" s="1528" t="s">
        <v>2129</v>
      </c>
      <c r="M310" s="1528" t="s">
        <v>2129</v>
      </c>
      <c r="N310" s="1528" t="s">
        <v>2129</v>
      </c>
      <c r="O310" s="1528" t="s">
        <v>2129</v>
      </c>
      <c r="P310" s="1528" t="s">
        <v>2129</v>
      </c>
      <c r="Q310" s="1528" t="s">
        <v>2129</v>
      </c>
      <c r="R310" s="1528" t="s">
        <v>2129</v>
      </c>
      <c r="S310" s="1410" t="s">
        <v>2169</v>
      </c>
      <c r="T310" s="1528">
        <v>3074.03</v>
      </c>
      <c r="U310" s="1528">
        <v>46110.45</v>
      </c>
      <c r="V310" s="1528">
        <v>5.2016999999999998</v>
      </c>
      <c r="W310" s="1528">
        <v>12.201700000000001</v>
      </c>
      <c r="X310" s="1528" t="s">
        <v>2281</v>
      </c>
      <c r="Y310" s="1528" t="s">
        <v>2132</v>
      </c>
      <c r="Z310" s="1528" t="s">
        <v>2132</v>
      </c>
      <c r="AA310" s="1528"/>
      <c r="AB310" s="1528"/>
      <c r="AC310" s="1528"/>
      <c r="AD310" s="1528" t="s">
        <v>2133</v>
      </c>
      <c r="AE310" s="1410" t="s">
        <v>2198</v>
      </c>
      <c r="AF310" s="1528"/>
      <c r="AG310" s="1528" t="s">
        <v>2283</v>
      </c>
    </row>
    <row r="311" spans="1:33" ht="84.75" hidden="1" thickBot="1">
      <c r="A311" s="1530"/>
      <c r="B311" s="1532"/>
      <c r="C311" s="1530"/>
      <c r="D311" s="1529"/>
      <c r="E311" s="1529"/>
      <c r="F311" s="1529"/>
      <c r="G311" s="1529"/>
      <c r="H311" s="1529"/>
      <c r="I311" s="1529"/>
      <c r="J311" s="1529"/>
      <c r="K311" s="1529"/>
      <c r="L311" s="1529"/>
      <c r="M311" s="1529"/>
      <c r="N311" s="1529"/>
      <c r="O311" s="1529"/>
      <c r="P311" s="1529"/>
      <c r="Q311" s="1529"/>
      <c r="R311" s="1529"/>
      <c r="S311" s="1409" t="s">
        <v>2325</v>
      </c>
      <c r="T311" s="1529"/>
      <c r="U311" s="1529"/>
      <c r="V311" s="1529"/>
      <c r="W311" s="1529"/>
      <c r="X311" s="1529"/>
      <c r="Y311" s="1529"/>
      <c r="Z311" s="1529"/>
      <c r="AA311" s="1529"/>
      <c r="AB311" s="1529"/>
      <c r="AC311" s="1529"/>
      <c r="AD311" s="1529"/>
      <c r="AE311" s="1409" t="s">
        <v>2200</v>
      </c>
      <c r="AF311" s="1529"/>
      <c r="AG311" s="1529"/>
    </row>
    <row r="312" spans="1:33" ht="18.75" hidden="1" thickBot="1">
      <c r="A312" s="1530"/>
      <c r="B312" s="1532"/>
      <c r="C312" s="1530"/>
      <c r="D312" s="1410" t="s">
        <v>2427</v>
      </c>
      <c r="E312" s="1528" t="s">
        <v>2129</v>
      </c>
      <c r="F312" s="1528" t="s">
        <v>2129</v>
      </c>
      <c r="G312" s="1528" t="s">
        <v>2129</v>
      </c>
      <c r="H312" s="1528" t="s">
        <v>2129</v>
      </c>
      <c r="I312" s="1528" t="s">
        <v>2129</v>
      </c>
      <c r="J312" s="1528" t="s">
        <v>2129</v>
      </c>
      <c r="K312" s="1528" t="s">
        <v>2129</v>
      </c>
      <c r="L312" s="1528" t="s">
        <v>2339</v>
      </c>
      <c r="M312" s="1528">
        <v>112</v>
      </c>
      <c r="N312" s="1528">
        <v>8422</v>
      </c>
      <c r="O312" s="1528">
        <v>8422</v>
      </c>
      <c r="P312" s="1528"/>
      <c r="Q312" s="1528"/>
      <c r="R312" s="1528"/>
      <c r="S312" s="1528" t="s">
        <v>2129</v>
      </c>
      <c r="T312" s="1528" t="s">
        <v>2129</v>
      </c>
      <c r="U312" s="1528" t="s">
        <v>2129</v>
      </c>
      <c r="V312" s="1528" t="s">
        <v>2129</v>
      </c>
      <c r="W312" s="1528" t="s">
        <v>2129</v>
      </c>
      <c r="X312" s="1528" t="s">
        <v>2129</v>
      </c>
      <c r="Y312" s="1528" t="s">
        <v>2129</v>
      </c>
      <c r="Z312" s="1528" t="s">
        <v>2129</v>
      </c>
      <c r="AA312" s="1528" t="s">
        <v>2129</v>
      </c>
      <c r="AB312" s="1528" t="s">
        <v>2129</v>
      </c>
      <c r="AC312" s="1528" t="s">
        <v>2129</v>
      </c>
      <c r="AD312" s="1528" t="s">
        <v>2129</v>
      </c>
      <c r="AE312" s="1528" t="s">
        <v>2129</v>
      </c>
      <c r="AF312" s="1528" t="s">
        <v>2129</v>
      </c>
      <c r="AG312" s="1528" t="s">
        <v>2129</v>
      </c>
    </row>
    <row r="313" spans="1:33" ht="60" hidden="1" thickBot="1">
      <c r="A313" s="1529"/>
      <c r="B313" s="1533"/>
      <c r="C313" s="1529"/>
      <c r="D313" s="1409" t="s">
        <v>2428</v>
      </c>
      <c r="E313" s="1529"/>
      <c r="F313" s="1529"/>
      <c r="G313" s="1529"/>
      <c r="H313" s="1529"/>
      <c r="I313" s="1529"/>
      <c r="J313" s="1529"/>
      <c r="K313" s="1529"/>
      <c r="L313" s="1529"/>
      <c r="M313" s="1529"/>
      <c r="N313" s="1529"/>
      <c r="O313" s="1529"/>
      <c r="P313" s="1529"/>
      <c r="Q313" s="1529"/>
      <c r="R313" s="1529"/>
      <c r="S313" s="1529"/>
      <c r="T313" s="1529"/>
      <c r="U313" s="1529"/>
      <c r="V313" s="1529"/>
      <c r="W313" s="1529"/>
      <c r="X313" s="1529"/>
      <c r="Y313" s="1529"/>
      <c r="Z313" s="1529"/>
      <c r="AA313" s="1529"/>
      <c r="AB313" s="1529"/>
      <c r="AC313" s="1529"/>
      <c r="AD313" s="1529"/>
      <c r="AE313" s="1529"/>
      <c r="AF313" s="1529"/>
      <c r="AG313" s="1529"/>
    </row>
    <row r="314" spans="1:33" ht="25.5" hidden="1" customHeight="1">
      <c r="A314" s="1528">
        <v>53</v>
      </c>
      <c r="B314" s="1531">
        <v>1.7224300000000002E+35</v>
      </c>
      <c r="C314" s="1528" t="s">
        <v>2430</v>
      </c>
      <c r="D314" s="1528" t="s">
        <v>2431</v>
      </c>
      <c r="E314" s="1528">
        <v>25671</v>
      </c>
      <c r="F314" s="1528"/>
      <c r="G314" s="1528">
        <v>25671</v>
      </c>
      <c r="H314" s="1528">
        <v>25671</v>
      </c>
      <c r="I314" s="1528">
        <v>0</v>
      </c>
      <c r="J314" s="1528">
        <v>0</v>
      </c>
      <c r="K314" s="1528">
        <v>0</v>
      </c>
      <c r="L314" s="1528" t="s">
        <v>2129</v>
      </c>
      <c r="M314" s="1528" t="s">
        <v>2129</v>
      </c>
      <c r="N314" s="1528" t="s">
        <v>2129</v>
      </c>
      <c r="O314" s="1528" t="s">
        <v>2129</v>
      </c>
      <c r="P314" s="1528" t="s">
        <v>2129</v>
      </c>
      <c r="Q314" s="1528" t="s">
        <v>2129</v>
      </c>
      <c r="R314" s="1528" t="s">
        <v>2129</v>
      </c>
      <c r="S314" s="1410" t="s">
        <v>2163</v>
      </c>
      <c r="T314" s="1528"/>
      <c r="U314" s="1528"/>
      <c r="V314" s="1528">
        <v>3.2017000000000002</v>
      </c>
      <c r="W314" s="1528">
        <v>12.201700000000001</v>
      </c>
      <c r="X314" s="1528" t="s">
        <v>2131</v>
      </c>
      <c r="Y314" s="1528" t="s">
        <v>2132</v>
      </c>
      <c r="Z314" s="1528" t="s">
        <v>2132</v>
      </c>
      <c r="AA314" s="1528"/>
      <c r="AB314" s="1528"/>
      <c r="AC314" s="1528"/>
      <c r="AD314" s="1528"/>
      <c r="AE314" s="1528"/>
      <c r="AF314" s="1528"/>
      <c r="AG314" s="1528"/>
    </row>
    <row r="315" spans="1:33" ht="76.5" hidden="1" thickBot="1">
      <c r="A315" s="1530"/>
      <c r="B315" s="1532"/>
      <c r="C315" s="1530"/>
      <c r="D315" s="1529"/>
      <c r="E315" s="1529"/>
      <c r="F315" s="1529"/>
      <c r="G315" s="1529"/>
      <c r="H315" s="1529"/>
      <c r="I315" s="1529"/>
      <c r="J315" s="1529"/>
      <c r="K315" s="1529"/>
      <c r="L315" s="1529"/>
      <c r="M315" s="1529"/>
      <c r="N315" s="1529"/>
      <c r="O315" s="1529"/>
      <c r="P315" s="1529"/>
      <c r="Q315" s="1529"/>
      <c r="R315" s="1529"/>
      <c r="S315" s="1409" t="s">
        <v>2432</v>
      </c>
      <c r="T315" s="1529"/>
      <c r="U315" s="1529"/>
      <c r="V315" s="1529"/>
      <c r="W315" s="1529"/>
      <c r="X315" s="1529"/>
      <c r="Y315" s="1529"/>
      <c r="Z315" s="1529"/>
      <c r="AA315" s="1529"/>
      <c r="AB315" s="1529"/>
      <c r="AC315" s="1529"/>
      <c r="AD315" s="1529"/>
      <c r="AE315" s="1529"/>
      <c r="AF315" s="1529"/>
      <c r="AG315" s="1529"/>
    </row>
    <row r="316" spans="1:33" ht="27" hidden="1" thickBot="1">
      <c r="A316" s="1530"/>
      <c r="B316" s="1532"/>
      <c r="C316" s="1530"/>
      <c r="D316" s="1410" t="s">
        <v>690</v>
      </c>
      <c r="E316" s="1528" t="s">
        <v>2129</v>
      </c>
      <c r="F316" s="1528" t="s">
        <v>2129</v>
      </c>
      <c r="G316" s="1528" t="s">
        <v>2129</v>
      </c>
      <c r="H316" s="1528" t="s">
        <v>2129</v>
      </c>
      <c r="I316" s="1528" t="s">
        <v>2129</v>
      </c>
      <c r="J316" s="1528" t="s">
        <v>2129</v>
      </c>
      <c r="K316" s="1528" t="s">
        <v>2129</v>
      </c>
      <c r="L316" s="1528" t="s">
        <v>2433</v>
      </c>
      <c r="M316" s="1528">
        <v>715</v>
      </c>
      <c r="N316" s="1528">
        <v>70</v>
      </c>
      <c r="O316" s="1528">
        <v>70</v>
      </c>
      <c r="P316" s="1528"/>
      <c r="Q316" s="1528"/>
      <c r="R316" s="1528"/>
      <c r="S316" s="1528" t="s">
        <v>2129</v>
      </c>
      <c r="T316" s="1528" t="s">
        <v>2129</v>
      </c>
      <c r="U316" s="1528" t="s">
        <v>2129</v>
      </c>
      <c r="V316" s="1528" t="s">
        <v>2129</v>
      </c>
      <c r="W316" s="1528" t="s">
        <v>2129</v>
      </c>
      <c r="X316" s="1528" t="s">
        <v>2129</v>
      </c>
      <c r="Y316" s="1528" t="s">
        <v>2129</v>
      </c>
      <c r="Z316" s="1528" t="s">
        <v>2129</v>
      </c>
      <c r="AA316" s="1528" t="s">
        <v>2129</v>
      </c>
      <c r="AB316" s="1528" t="s">
        <v>2129</v>
      </c>
      <c r="AC316" s="1528" t="s">
        <v>2129</v>
      </c>
      <c r="AD316" s="1528" t="s">
        <v>2129</v>
      </c>
      <c r="AE316" s="1528" t="s">
        <v>2129</v>
      </c>
      <c r="AF316" s="1528" t="s">
        <v>2129</v>
      </c>
      <c r="AG316" s="1528" t="s">
        <v>2129</v>
      </c>
    </row>
    <row r="317" spans="1:33" ht="76.5" hidden="1" thickBot="1">
      <c r="A317" s="1530"/>
      <c r="B317" s="1532"/>
      <c r="C317" s="1530"/>
      <c r="D317" s="1409" t="s">
        <v>2434</v>
      </c>
      <c r="E317" s="1529"/>
      <c r="F317" s="1529"/>
      <c r="G317" s="1529"/>
      <c r="H317" s="1529"/>
      <c r="I317" s="1529"/>
      <c r="J317" s="1529"/>
      <c r="K317" s="1529"/>
      <c r="L317" s="1529"/>
      <c r="M317" s="1529"/>
      <c r="N317" s="1529"/>
      <c r="O317" s="1529"/>
      <c r="P317" s="1529"/>
      <c r="Q317" s="1529"/>
      <c r="R317" s="1529"/>
      <c r="S317" s="1529"/>
      <c r="T317" s="1529"/>
      <c r="U317" s="1529"/>
      <c r="V317" s="1529"/>
      <c r="W317" s="1529"/>
      <c r="X317" s="1529"/>
      <c r="Y317" s="1529"/>
      <c r="Z317" s="1529"/>
      <c r="AA317" s="1529"/>
      <c r="AB317" s="1529"/>
      <c r="AC317" s="1529"/>
      <c r="AD317" s="1529"/>
      <c r="AE317" s="1529"/>
      <c r="AF317" s="1529"/>
      <c r="AG317" s="1529"/>
    </row>
    <row r="318" spans="1:33" ht="18.75" hidden="1" thickBot="1">
      <c r="A318" s="1530"/>
      <c r="B318" s="1532"/>
      <c r="C318" s="1530"/>
      <c r="D318" s="1410" t="s">
        <v>691</v>
      </c>
      <c r="E318" s="1528" t="s">
        <v>2129</v>
      </c>
      <c r="F318" s="1528" t="s">
        <v>2129</v>
      </c>
      <c r="G318" s="1528" t="s">
        <v>2129</v>
      </c>
      <c r="H318" s="1528" t="s">
        <v>2129</v>
      </c>
      <c r="I318" s="1528" t="s">
        <v>2129</v>
      </c>
      <c r="J318" s="1528" t="s">
        <v>2129</v>
      </c>
      <c r="K318" s="1528" t="s">
        <v>2129</v>
      </c>
      <c r="L318" s="1528" t="s">
        <v>2166</v>
      </c>
      <c r="M318" s="1528">
        <v>796</v>
      </c>
      <c r="N318" s="1528">
        <v>18</v>
      </c>
      <c r="O318" s="1528">
        <v>18</v>
      </c>
      <c r="P318" s="1528"/>
      <c r="Q318" s="1528"/>
      <c r="R318" s="1528"/>
      <c r="S318" s="1528" t="s">
        <v>2129</v>
      </c>
      <c r="T318" s="1528" t="s">
        <v>2129</v>
      </c>
      <c r="U318" s="1528" t="s">
        <v>2129</v>
      </c>
      <c r="V318" s="1528" t="s">
        <v>2129</v>
      </c>
      <c r="W318" s="1528" t="s">
        <v>2129</v>
      </c>
      <c r="X318" s="1528" t="s">
        <v>2129</v>
      </c>
      <c r="Y318" s="1528" t="s">
        <v>2129</v>
      </c>
      <c r="Z318" s="1528" t="s">
        <v>2129</v>
      </c>
      <c r="AA318" s="1528" t="s">
        <v>2129</v>
      </c>
      <c r="AB318" s="1528" t="s">
        <v>2129</v>
      </c>
      <c r="AC318" s="1528" t="s">
        <v>2129</v>
      </c>
      <c r="AD318" s="1528" t="s">
        <v>2129</v>
      </c>
      <c r="AE318" s="1528" t="s">
        <v>2129</v>
      </c>
      <c r="AF318" s="1528" t="s">
        <v>2129</v>
      </c>
      <c r="AG318" s="1528" t="s">
        <v>2129</v>
      </c>
    </row>
    <row r="319" spans="1:33" ht="60" hidden="1" thickBot="1">
      <c r="A319" s="1530"/>
      <c r="B319" s="1532"/>
      <c r="C319" s="1530"/>
      <c r="D319" s="1409" t="s">
        <v>2435</v>
      </c>
      <c r="E319" s="1529"/>
      <c r="F319" s="1529"/>
      <c r="G319" s="1529"/>
      <c r="H319" s="1529"/>
      <c r="I319" s="1529"/>
      <c r="J319" s="1529"/>
      <c r="K319" s="1529"/>
      <c r="L319" s="1529"/>
      <c r="M319" s="1529"/>
      <c r="N319" s="1529"/>
      <c r="O319" s="1529"/>
      <c r="P319" s="1529"/>
      <c r="Q319" s="1529"/>
      <c r="R319" s="1529"/>
      <c r="S319" s="1529"/>
      <c r="T319" s="1529"/>
      <c r="U319" s="1529"/>
      <c r="V319" s="1529"/>
      <c r="W319" s="1529"/>
      <c r="X319" s="1529"/>
      <c r="Y319" s="1529"/>
      <c r="Z319" s="1529"/>
      <c r="AA319" s="1529"/>
      <c r="AB319" s="1529"/>
      <c r="AC319" s="1529"/>
      <c r="AD319" s="1529"/>
      <c r="AE319" s="1529"/>
      <c r="AF319" s="1529"/>
      <c r="AG319" s="1529"/>
    </row>
    <row r="320" spans="1:33" ht="18.75" hidden="1" thickBot="1">
      <c r="A320" s="1530"/>
      <c r="B320" s="1532"/>
      <c r="C320" s="1530"/>
      <c r="D320" s="1410" t="s">
        <v>692</v>
      </c>
      <c r="E320" s="1528" t="s">
        <v>2129</v>
      </c>
      <c r="F320" s="1528" t="s">
        <v>2129</v>
      </c>
      <c r="G320" s="1528" t="s">
        <v>2129</v>
      </c>
      <c r="H320" s="1528" t="s">
        <v>2129</v>
      </c>
      <c r="I320" s="1528" t="s">
        <v>2129</v>
      </c>
      <c r="J320" s="1528" t="s">
        <v>2129</v>
      </c>
      <c r="K320" s="1528" t="s">
        <v>2129</v>
      </c>
      <c r="L320" s="1528" t="s">
        <v>2166</v>
      </c>
      <c r="M320" s="1528">
        <v>796</v>
      </c>
      <c r="N320" s="1528">
        <v>4</v>
      </c>
      <c r="O320" s="1528">
        <v>4</v>
      </c>
      <c r="P320" s="1528"/>
      <c r="Q320" s="1528"/>
      <c r="R320" s="1528"/>
      <c r="S320" s="1528" t="s">
        <v>2129</v>
      </c>
      <c r="T320" s="1528" t="s">
        <v>2129</v>
      </c>
      <c r="U320" s="1528" t="s">
        <v>2129</v>
      </c>
      <c r="V320" s="1528" t="s">
        <v>2129</v>
      </c>
      <c r="W320" s="1528" t="s">
        <v>2129</v>
      </c>
      <c r="X320" s="1528" t="s">
        <v>2129</v>
      </c>
      <c r="Y320" s="1528" t="s">
        <v>2129</v>
      </c>
      <c r="Z320" s="1528" t="s">
        <v>2129</v>
      </c>
      <c r="AA320" s="1528" t="s">
        <v>2129</v>
      </c>
      <c r="AB320" s="1528" t="s">
        <v>2129</v>
      </c>
      <c r="AC320" s="1528" t="s">
        <v>2129</v>
      </c>
      <c r="AD320" s="1528" t="s">
        <v>2129</v>
      </c>
      <c r="AE320" s="1528" t="s">
        <v>2129</v>
      </c>
      <c r="AF320" s="1528" t="s">
        <v>2129</v>
      </c>
      <c r="AG320" s="1528" t="s">
        <v>2129</v>
      </c>
    </row>
    <row r="321" spans="1:33" ht="60" hidden="1" thickBot="1">
      <c r="A321" s="1530"/>
      <c r="B321" s="1532"/>
      <c r="C321" s="1530"/>
      <c r="D321" s="1409" t="s">
        <v>2436</v>
      </c>
      <c r="E321" s="1529"/>
      <c r="F321" s="1529"/>
      <c r="G321" s="1529"/>
      <c r="H321" s="1529"/>
      <c r="I321" s="1529"/>
      <c r="J321" s="1529"/>
      <c r="K321" s="1529"/>
      <c r="L321" s="1529"/>
      <c r="M321" s="1529"/>
      <c r="N321" s="1529"/>
      <c r="O321" s="1529"/>
      <c r="P321" s="1529"/>
      <c r="Q321" s="1529"/>
      <c r="R321" s="1529"/>
      <c r="S321" s="1529"/>
      <c r="T321" s="1529"/>
      <c r="U321" s="1529"/>
      <c r="V321" s="1529"/>
      <c r="W321" s="1529"/>
      <c r="X321" s="1529"/>
      <c r="Y321" s="1529"/>
      <c r="Z321" s="1529"/>
      <c r="AA321" s="1529"/>
      <c r="AB321" s="1529"/>
      <c r="AC321" s="1529"/>
      <c r="AD321" s="1529"/>
      <c r="AE321" s="1529"/>
      <c r="AF321" s="1529"/>
      <c r="AG321" s="1529"/>
    </row>
    <row r="322" spans="1:33" ht="15.75" hidden="1" thickBot="1">
      <c r="A322" s="1530"/>
      <c r="B322" s="1532"/>
      <c r="C322" s="1530"/>
      <c r="D322" s="1410" t="s">
        <v>2437</v>
      </c>
      <c r="E322" s="1528" t="s">
        <v>2129</v>
      </c>
      <c r="F322" s="1528" t="s">
        <v>2129</v>
      </c>
      <c r="G322" s="1528" t="s">
        <v>2129</v>
      </c>
      <c r="H322" s="1528" t="s">
        <v>2129</v>
      </c>
      <c r="I322" s="1528" t="s">
        <v>2129</v>
      </c>
      <c r="J322" s="1528" t="s">
        <v>2129</v>
      </c>
      <c r="K322" s="1528" t="s">
        <v>2129</v>
      </c>
      <c r="L322" s="1528" t="s">
        <v>2166</v>
      </c>
      <c r="M322" s="1528">
        <v>796</v>
      </c>
      <c r="N322" s="1528">
        <v>2</v>
      </c>
      <c r="O322" s="1528">
        <v>2</v>
      </c>
      <c r="P322" s="1528"/>
      <c r="Q322" s="1528"/>
      <c r="R322" s="1528"/>
      <c r="S322" s="1528" t="s">
        <v>2129</v>
      </c>
      <c r="T322" s="1528" t="s">
        <v>2129</v>
      </c>
      <c r="U322" s="1528" t="s">
        <v>2129</v>
      </c>
      <c r="V322" s="1528" t="s">
        <v>2129</v>
      </c>
      <c r="W322" s="1528" t="s">
        <v>2129</v>
      </c>
      <c r="X322" s="1528" t="s">
        <v>2129</v>
      </c>
      <c r="Y322" s="1528" t="s">
        <v>2129</v>
      </c>
      <c r="Z322" s="1528" t="s">
        <v>2129</v>
      </c>
      <c r="AA322" s="1528" t="s">
        <v>2129</v>
      </c>
      <c r="AB322" s="1528" t="s">
        <v>2129</v>
      </c>
      <c r="AC322" s="1528" t="s">
        <v>2129</v>
      </c>
      <c r="AD322" s="1528" t="s">
        <v>2129</v>
      </c>
      <c r="AE322" s="1528" t="s">
        <v>2129</v>
      </c>
      <c r="AF322" s="1528" t="s">
        <v>2129</v>
      </c>
      <c r="AG322" s="1528" t="s">
        <v>2129</v>
      </c>
    </row>
    <row r="323" spans="1:33" ht="68.25" hidden="1" thickBot="1">
      <c r="A323" s="1530"/>
      <c r="B323" s="1532"/>
      <c r="C323" s="1530"/>
      <c r="D323" s="1409" t="s">
        <v>2438</v>
      </c>
      <c r="E323" s="1529"/>
      <c r="F323" s="1529"/>
      <c r="G323" s="1529"/>
      <c r="H323" s="1529"/>
      <c r="I323" s="1529"/>
      <c r="J323" s="1529"/>
      <c r="K323" s="1529"/>
      <c r="L323" s="1529"/>
      <c r="M323" s="1529"/>
      <c r="N323" s="1529"/>
      <c r="O323" s="1529"/>
      <c r="P323" s="1529"/>
      <c r="Q323" s="1529"/>
      <c r="R323" s="1529"/>
      <c r="S323" s="1529"/>
      <c r="T323" s="1529"/>
      <c r="U323" s="1529"/>
      <c r="V323" s="1529"/>
      <c r="W323" s="1529"/>
      <c r="X323" s="1529"/>
      <c r="Y323" s="1529"/>
      <c r="Z323" s="1529"/>
      <c r="AA323" s="1529"/>
      <c r="AB323" s="1529"/>
      <c r="AC323" s="1529"/>
      <c r="AD323" s="1529"/>
      <c r="AE323" s="1529"/>
      <c r="AF323" s="1529"/>
      <c r="AG323" s="1529"/>
    </row>
    <row r="324" spans="1:33" ht="15.75" hidden="1" thickBot="1">
      <c r="A324" s="1530"/>
      <c r="B324" s="1532"/>
      <c r="C324" s="1530"/>
      <c r="D324" s="1410" t="s">
        <v>2439</v>
      </c>
      <c r="E324" s="1528" t="s">
        <v>2129</v>
      </c>
      <c r="F324" s="1528" t="s">
        <v>2129</v>
      </c>
      <c r="G324" s="1528" t="s">
        <v>2129</v>
      </c>
      <c r="H324" s="1528" t="s">
        <v>2129</v>
      </c>
      <c r="I324" s="1528" t="s">
        <v>2129</v>
      </c>
      <c r="J324" s="1528" t="s">
        <v>2129</v>
      </c>
      <c r="K324" s="1528" t="s">
        <v>2129</v>
      </c>
      <c r="L324" s="1528" t="s">
        <v>2166</v>
      </c>
      <c r="M324" s="1528">
        <v>796</v>
      </c>
      <c r="N324" s="1528">
        <v>2</v>
      </c>
      <c r="O324" s="1528">
        <v>2</v>
      </c>
      <c r="P324" s="1528"/>
      <c r="Q324" s="1528"/>
      <c r="R324" s="1528"/>
      <c r="S324" s="1528" t="s">
        <v>2129</v>
      </c>
      <c r="T324" s="1528" t="s">
        <v>2129</v>
      </c>
      <c r="U324" s="1528" t="s">
        <v>2129</v>
      </c>
      <c r="V324" s="1528" t="s">
        <v>2129</v>
      </c>
      <c r="W324" s="1528" t="s">
        <v>2129</v>
      </c>
      <c r="X324" s="1528" t="s">
        <v>2129</v>
      </c>
      <c r="Y324" s="1528" t="s">
        <v>2129</v>
      </c>
      <c r="Z324" s="1528" t="s">
        <v>2129</v>
      </c>
      <c r="AA324" s="1528" t="s">
        <v>2129</v>
      </c>
      <c r="AB324" s="1528" t="s">
        <v>2129</v>
      </c>
      <c r="AC324" s="1528" t="s">
        <v>2129</v>
      </c>
      <c r="AD324" s="1528" t="s">
        <v>2129</v>
      </c>
      <c r="AE324" s="1528" t="s">
        <v>2129</v>
      </c>
      <c r="AF324" s="1528" t="s">
        <v>2129</v>
      </c>
      <c r="AG324" s="1528" t="s">
        <v>2129</v>
      </c>
    </row>
    <row r="325" spans="1:33" ht="68.25" hidden="1" thickBot="1">
      <c r="A325" s="1530"/>
      <c r="B325" s="1532"/>
      <c r="C325" s="1530"/>
      <c r="D325" s="1409" t="s">
        <v>2440</v>
      </c>
      <c r="E325" s="1529"/>
      <c r="F325" s="1529"/>
      <c r="G325" s="1529"/>
      <c r="H325" s="1529"/>
      <c r="I325" s="1529"/>
      <c r="J325" s="1529"/>
      <c r="K325" s="1529"/>
      <c r="L325" s="1529"/>
      <c r="M325" s="1529"/>
      <c r="N325" s="1529"/>
      <c r="O325" s="1529"/>
      <c r="P325" s="1529"/>
      <c r="Q325" s="1529"/>
      <c r="R325" s="1529"/>
      <c r="S325" s="1529"/>
      <c r="T325" s="1529"/>
      <c r="U325" s="1529"/>
      <c r="V325" s="1529"/>
      <c r="W325" s="1529"/>
      <c r="X325" s="1529"/>
      <c r="Y325" s="1529"/>
      <c r="Z325" s="1529"/>
      <c r="AA325" s="1529"/>
      <c r="AB325" s="1529"/>
      <c r="AC325" s="1529"/>
      <c r="AD325" s="1529"/>
      <c r="AE325" s="1529"/>
      <c r="AF325" s="1529"/>
      <c r="AG325" s="1529"/>
    </row>
    <row r="326" spans="1:33" ht="15.75" hidden="1" thickBot="1">
      <c r="A326" s="1530"/>
      <c r="B326" s="1532"/>
      <c r="C326" s="1530"/>
      <c r="D326" s="1410" t="s">
        <v>2441</v>
      </c>
      <c r="E326" s="1528" t="s">
        <v>2129</v>
      </c>
      <c r="F326" s="1528" t="s">
        <v>2129</v>
      </c>
      <c r="G326" s="1528" t="s">
        <v>2129</v>
      </c>
      <c r="H326" s="1528" t="s">
        <v>2129</v>
      </c>
      <c r="I326" s="1528" t="s">
        <v>2129</v>
      </c>
      <c r="J326" s="1528" t="s">
        <v>2129</v>
      </c>
      <c r="K326" s="1528" t="s">
        <v>2129</v>
      </c>
      <c r="L326" s="1528" t="s">
        <v>2166</v>
      </c>
      <c r="M326" s="1528">
        <v>796</v>
      </c>
      <c r="N326" s="1528">
        <v>1</v>
      </c>
      <c r="O326" s="1528">
        <v>1</v>
      </c>
      <c r="P326" s="1528"/>
      <c r="Q326" s="1528"/>
      <c r="R326" s="1528"/>
      <c r="S326" s="1528" t="s">
        <v>2129</v>
      </c>
      <c r="T326" s="1528" t="s">
        <v>2129</v>
      </c>
      <c r="U326" s="1528" t="s">
        <v>2129</v>
      </c>
      <c r="V326" s="1528" t="s">
        <v>2129</v>
      </c>
      <c r="W326" s="1528" t="s">
        <v>2129</v>
      </c>
      <c r="X326" s="1528" t="s">
        <v>2129</v>
      </c>
      <c r="Y326" s="1528" t="s">
        <v>2129</v>
      </c>
      <c r="Z326" s="1528" t="s">
        <v>2129</v>
      </c>
      <c r="AA326" s="1528" t="s">
        <v>2129</v>
      </c>
      <c r="AB326" s="1528" t="s">
        <v>2129</v>
      </c>
      <c r="AC326" s="1528" t="s">
        <v>2129</v>
      </c>
      <c r="AD326" s="1528" t="s">
        <v>2129</v>
      </c>
      <c r="AE326" s="1528" t="s">
        <v>2129</v>
      </c>
      <c r="AF326" s="1528" t="s">
        <v>2129</v>
      </c>
      <c r="AG326" s="1528" t="s">
        <v>2129</v>
      </c>
    </row>
    <row r="327" spans="1:33" ht="68.25" hidden="1" thickBot="1">
      <c r="A327" s="1530"/>
      <c r="B327" s="1532"/>
      <c r="C327" s="1530"/>
      <c r="D327" s="1409" t="s">
        <v>2442</v>
      </c>
      <c r="E327" s="1529"/>
      <c r="F327" s="1529"/>
      <c r="G327" s="1529"/>
      <c r="H327" s="1529"/>
      <c r="I327" s="1529"/>
      <c r="J327" s="1529"/>
      <c r="K327" s="1529"/>
      <c r="L327" s="1529"/>
      <c r="M327" s="1529"/>
      <c r="N327" s="1529"/>
      <c r="O327" s="1529"/>
      <c r="P327" s="1529"/>
      <c r="Q327" s="1529"/>
      <c r="R327" s="1529"/>
      <c r="S327" s="1529"/>
      <c r="T327" s="1529"/>
      <c r="U327" s="1529"/>
      <c r="V327" s="1529"/>
      <c r="W327" s="1529"/>
      <c r="X327" s="1529"/>
      <c r="Y327" s="1529"/>
      <c r="Z327" s="1529"/>
      <c r="AA327" s="1529"/>
      <c r="AB327" s="1529"/>
      <c r="AC327" s="1529"/>
      <c r="AD327" s="1529"/>
      <c r="AE327" s="1529"/>
      <c r="AF327" s="1529"/>
      <c r="AG327" s="1529"/>
    </row>
    <row r="328" spans="1:33" ht="15.75" hidden="1" thickBot="1">
      <c r="A328" s="1530"/>
      <c r="B328" s="1532"/>
      <c r="C328" s="1530"/>
      <c r="D328" s="1410" t="s">
        <v>2443</v>
      </c>
      <c r="E328" s="1528" t="s">
        <v>2129</v>
      </c>
      <c r="F328" s="1528" t="s">
        <v>2129</v>
      </c>
      <c r="G328" s="1528" t="s">
        <v>2129</v>
      </c>
      <c r="H328" s="1528" t="s">
        <v>2129</v>
      </c>
      <c r="I328" s="1528" t="s">
        <v>2129</v>
      </c>
      <c r="J328" s="1528" t="s">
        <v>2129</v>
      </c>
      <c r="K328" s="1528" t="s">
        <v>2129</v>
      </c>
      <c r="L328" s="1528" t="s">
        <v>2166</v>
      </c>
      <c r="M328" s="1528">
        <v>796</v>
      </c>
      <c r="N328" s="1528">
        <v>15</v>
      </c>
      <c r="O328" s="1528">
        <v>15</v>
      </c>
      <c r="P328" s="1528"/>
      <c r="Q328" s="1528"/>
      <c r="R328" s="1528"/>
      <c r="S328" s="1528" t="s">
        <v>2129</v>
      </c>
      <c r="T328" s="1528" t="s">
        <v>2129</v>
      </c>
      <c r="U328" s="1528" t="s">
        <v>2129</v>
      </c>
      <c r="V328" s="1528" t="s">
        <v>2129</v>
      </c>
      <c r="W328" s="1528" t="s">
        <v>2129</v>
      </c>
      <c r="X328" s="1528" t="s">
        <v>2129</v>
      </c>
      <c r="Y328" s="1528" t="s">
        <v>2129</v>
      </c>
      <c r="Z328" s="1528" t="s">
        <v>2129</v>
      </c>
      <c r="AA328" s="1528" t="s">
        <v>2129</v>
      </c>
      <c r="AB328" s="1528" t="s">
        <v>2129</v>
      </c>
      <c r="AC328" s="1528" t="s">
        <v>2129</v>
      </c>
      <c r="AD328" s="1528" t="s">
        <v>2129</v>
      </c>
      <c r="AE328" s="1528" t="s">
        <v>2129</v>
      </c>
      <c r="AF328" s="1528" t="s">
        <v>2129</v>
      </c>
      <c r="AG328" s="1528" t="s">
        <v>2129</v>
      </c>
    </row>
    <row r="329" spans="1:33" ht="68.25" hidden="1" thickBot="1">
      <c r="A329" s="1530"/>
      <c r="B329" s="1532"/>
      <c r="C329" s="1530"/>
      <c r="D329" s="1409" t="s">
        <v>2444</v>
      </c>
      <c r="E329" s="1529"/>
      <c r="F329" s="1529"/>
      <c r="G329" s="1529"/>
      <c r="H329" s="1529"/>
      <c r="I329" s="1529"/>
      <c r="J329" s="1529"/>
      <c r="K329" s="1529"/>
      <c r="L329" s="1529"/>
      <c r="M329" s="1529"/>
      <c r="N329" s="1529"/>
      <c r="O329" s="1529"/>
      <c r="P329" s="1529"/>
      <c r="Q329" s="1529"/>
      <c r="R329" s="1529"/>
      <c r="S329" s="1529"/>
      <c r="T329" s="1529"/>
      <c r="U329" s="1529"/>
      <c r="V329" s="1529"/>
      <c r="W329" s="1529"/>
      <c r="X329" s="1529"/>
      <c r="Y329" s="1529"/>
      <c r="Z329" s="1529"/>
      <c r="AA329" s="1529"/>
      <c r="AB329" s="1529"/>
      <c r="AC329" s="1529"/>
      <c r="AD329" s="1529"/>
      <c r="AE329" s="1529"/>
      <c r="AF329" s="1529"/>
      <c r="AG329" s="1529"/>
    </row>
    <row r="330" spans="1:33" ht="15.75" hidden="1" thickBot="1">
      <c r="A330" s="1530"/>
      <c r="B330" s="1532"/>
      <c r="C330" s="1530"/>
      <c r="D330" s="1410" t="s">
        <v>2445</v>
      </c>
      <c r="E330" s="1528" t="s">
        <v>2129</v>
      </c>
      <c r="F330" s="1528" t="s">
        <v>2129</v>
      </c>
      <c r="G330" s="1528" t="s">
        <v>2129</v>
      </c>
      <c r="H330" s="1528" t="s">
        <v>2129</v>
      </c>
      <c r="I330" s="1528" t="s">
        <v>2129</v>
      </c>
      <c r="J330" s="1528" t="s">
        <v>2129</v>
      </c>
      <c r="K330" s="1528" t="s">
        <v>2129</v>
      </c>
      <c r="L330" s="1528" t="s">
        <v>2433</v>
      </c>
      <c r="M330" s="1528">
        <v>715</v>
      </c>
      <c r="N330" s="1528">
        <v>30</v>
      </c>
      <c r="O330" s="1528">
        <v>30</v>
      </c>
      <c r="P330" s="1528"/>
      <c r="Q330" s="1528"/>
      <c r="R330" s="1528"/>
      <c r="S330" s="1528" t="s">
        <v>2129</v>
      </c>
      <c r="T330" s="1528" t="s">
        <v>2129</v>
      </c>
      <c r="U330" s="1528" t="s">
        <v>2129</v>
      </c>
      <c r="V330" s="1528" t="s">
        <v>2129</v>
      </c>
      <c r="W330" s="1528" t="s">
        <v>2129</v>
      </c>
      <c r="X330" s="1528" t="s">
        <v>2129</v>
      </c>
      <c r="Y330" s="1528" t="s">
        <v>2129</v>
      </c>
      <c r="Z330" s="1528" t="s">
        <v>2129</v>
      </c>
      <c r="AA330" s="1528" t="s">
        <v>2129</v>
      </c>
      <c r="AB330" s="1528" t="s">
        <v>2129</v>
      </c>
      <c r="AC330" s="1528" t="s">
        <v>2129</v>
      </c>
      <c r="AD330" s="1528" t="s">
        <v>2129</v>
      </c>
      <c r="AE330" s="1528" t="s">
        <v>2129</v>
      </c>
      <c r="AF330" s="1528" t="s">
        <v>2129</v>
      </c>
      <c r="AG330" s="1528" t="s">
        <v>2129</v>
      </c>
    </row>
    <row r="331" spans="1:33" ht="101.25" hidden="1" thickBot="1">
      <c r="A331" s="1530"/>
      <c r="B331" s="1532"/>
      <c r="C331" s="1530"/>
      <c r="D331" s="1409" t="s">
        <v>2446</v>
      </c>
      <c r="E331" s="1529"/>
      <c r="F331" s="1529"/>
      <c r="G331" s="1529"/>
      <c r="H331" s="1529"/>
      <c r="I331" s="1529"/>
      <c r="J331" s="1529"/>
      <c r="K331" s="1529"/>
      <c r="L331" s="1529"/>
      <c r="M331" s="1529"/>
      <c r="N331" s="1529"/>
      <c r="O331" s="1529"/>
      <c r="P331" s="1529"/>
      <c r="Q331" s="1529"/>
      <c r="R331" s="1529"/>
      <c r="S331" s="1529"/>
      <c r="T331" s="1529"/>
      <c r="U331" s="1529"/>
      <c r="V331" s="1529"/>
      <c r="W331" s="1529"/>
      <c r="X331" s="1529"/>
      <c r="Y331" s="1529"/>
      <c r="Z331" s="1529"/>
      <c r="AA331" s="1529"/>
      <c r="AB331" s="1529"/>
      <c r="AC331" s="1529"/>
      <c r="AD331" s="1529"/>
      <c r="AE331" s="1529"/>
      <c r="AF331" s="1529"/>
      <c r="AG331" s="1529"/>
    </row>
    <row r="332" spans="1:33" ht="15.75" hidden="1" thickBot="1">
      <c r="A332" s="1530"/>
      <c r="B332" s="1532"/>
      <c r="C332" s="1530"/>
      <c r="D332" s="1410" t="s">
        <v>2447</v>
      </c>
      <c r="E332" s="1528" t="s">
        <v>2129</v>
      </c>
      <c r="F332" s="1528" t="s">
        <v>2129</v>
      </c>
      <c r="G332" s="1528" t="s">
        <v>2129</v>
      </c>
      <c r="H332" s="1528" t="s">
        <v>2129</v>
      </c>
      <c r="I332" s="1528" t="s">
        <v>2129</v>
      </c>
      <c r="J332" s="1528" t="s">
        <v>2129</v>
      </c>
      <c r="K332" s="1528" t="s">
        <v>2129</v>
      </c>
      <c r="L332" s="1528" t="s">
        <v>2166</v>
      </c>
      <c r="M332" s="1528">
        <v>796</v>
      </c>
      <c r="N332" s="1528">
        <v>3</v>
      </c>
      <c r="O332" s="1528">
        <v>3</v>
      </c>
      <c r="P332" s="1528"/>
      <c r="Q332" s="1528"/>
      <c r="R332" s="1528"/>
      <c r="S332" s="1528" t="s">
        <v>2129</v>
      </c>
      <c r="T332" s="1528" t="s">
        <v>2129</v>
      </c>
      <c r="U332" s="1528" t="s">
        <v>2129</v>
      </c>
      <c r="V332" s="1528" t="s">
        <v>2129</v>
      </c>
      <c r="W332" s="1528" t="s">
        <v>2129</v>
      </c>
      <c r="X332" s="1528" t="s">
        <v>2129</v>
      </c>
      <c r="Y332" s="1528" t="s">
        <v>2129</v>
      </c>
      <c r="Z332" s="1528" t="s">
        <v>2129</v>
      </c>
      <c r="AA332" s="1528" t="s">
        <v>2129</v>
      </c>
      <c r="AB332" s="1528" t="s">
        <v>2129</v>
      </c>
      <c r="AC332" s="1528" t="s">
        <v>2129</v>
      </c>
      <c r="AD332" s="1528" t="s">
        <v>2129</v>
      </c>
      <c r="AE332" s="1528" t="s">
        <v>2129</v>
      </c>
      <c r="AF332" s="1528" t="s">
        <v>2129</v>
      </c>
      <c r="AG332" s="1528" t="s">
        <v>2129</v>
      </c>
    </row>
    <row r="333" spans="1:33" ht="68.25" hidden="1" thickBot="1">
      <c r="A333" s="1530"/>
      <c r="B333" s="1532"/>
      <c r="C333" s="1530"/>
      <c r="D333" s="1409" t="s">
        <v>2448</v>
      </c>
      <c r="E333" s="1529"/>
      <c r="F333" s="1529"/>
      <c r="G333" s="1529"/>
      <c r="H333" s="1529"/>
      <c r="I333" s="1529"/>
      <c r="J333" s="1529"/>
      <c r="K333" s="1529"/>
      <c r="L333" s="1529"/>
      <c r="M333" s="1529"/>
      <c r="N333" s="1529"/>
      <c r="O333" s="1529"/>
      <c r="P333" s="1529"/>
      <c r="Q333" s="1529"/>
      <c r="R333" s="1529"/>
      <c r="S333" s="1529"/>
      <c r="T333" s="1529"/>
      <c r="U333" s="1529"/>
      <c r="V333" s="1529"/>
      <c r="W333" s="1529"/>
      <c r="X333" s="1529"/>
      <c r="Y333" s="1529"/>
      <c r="Z333" s="1529"/>
      <c r="AA333" s="1529"/>
      <c r="AB333" s="1529"/>
      <c r="AC333" s="1529"/>
      <c r="AD333" s="1529"/>
      <c r="AE333" s="1529"/>
      <c r="AF333" s="1529"/>
      <c r="AG333" s="1529"/>
    </row>
    <row r="334" spans="1:33" ht="15.75" hidden="1" thickBot="1">
      <c r="A334" s="1530"/>
      <c r="B334" s="1532"/>
      <c r="C334" s="1530"/>
      <c r="D334" s="1410" t="s">
        <v>2449</v>
      </c>
      <c r="E334" s="1528" t="s">
        <v>2129</v>
      </c>
      <c r="F334" s="1528" t="s">
        <v>2129</v>
      </c>
      <c r="G334" s="1528" t="s">
        <v>2129</v>
      </c>
      <c r="H334" s="1528" t="s">
        <v>2129</v>
      </c>
      <c r="I334" s="1528" t="s">
        <v>2129</v>
      </c>
      <c r="J334" s="1528" t="s">
        <v>2129</v>
      </c>
      <c r="K334" s="1528" t="s">
        <v>2129</v>
      </c>
      <c r="L334" s="1528" t="s">
        <v>2166</v>
      </c>
      <c r="M334" s="1528">
        <v>796</v>
      </c>
      <c r="N334" s="1528">
        <v>1</v>
      </c>
      <c r="O334" s="1528">
        <v>1</v>
      </c>
      <c r="P334" s="1528"/>
      <c r="Q334" s="1528"/>
      <c r="R334" s="1528"/>
      <c r="S334" s="1528" t="s">
        <v>2129</v>
      </c>
      <c r="T334" s="1528" t="s">
        <v>2129</v>
      </c>
      <c r="U334" s="1528" t="s">
        <v>2129</v>
      </c>
      <c r="V334" s="1528" t="s">
        <v>2129</v>
      </c>
      <c r="W334" s="1528" t="s">
        <v>2129</v>
      </c>
      <c r="X334" s="1528" t="s">
        <v>2129</v>
      </c>
      <c r="Y334" s="1528" t="s">
        <v>2129</v>
      </c>
      <c r="Z334" s="1528" t="s">
        <v>2129</v>
      </c>
      <c r="AA334" s="1528" t="s">
        <v>2129</v>
      </c>
      <c r="AB334" s="1528" t="s">
        <v>2129</v>
      </c>
      <c r="AC334" s="1528" t="s">
        <v>2129</v>
      </c>
      <c r="AD334" s="1528" t="s">
        <v>2129</v>
      </c>
      <c r="AE334" s="1528" t="s">
        <v>2129</v>
      </c>
      <c r="AF334" s="1528" t="s">
        <v>2129</v>
      </c>
      <c r="AG334" s="1528" t="s">
        <v>2129</v>
      </c>
    </row>
    <row r="335" spans="1:33" ht="76.5" hidden="1" thickBot="1">
      <c r="A335" s="1530"/>
      <c r="B335" s="1532"/>
      <c r="C335" s="1530"/>
      <c r="D335" s="1409" t="s">
        <v>2450</v>
      </c>
      <c r="E335" s="1529"/>
      <c r="F335" s="1529"/>
      <c r="G335" s="1529"/>
      <c r="H335" s="1529"/>
      <c r="I335" s="1529"/>
      <c r="J335" s="1529"/>
      <c r="K335" s="1529"/>
      <c r="L335" s="1529"/>
      <c r="M335" s="1529"/>
      <c r="N335" s="1529"/>
      <c r="O335" s="1529"/>
      <c r="P335" s="1529"/>
      <c r="Q335" s="1529"/>
      <c r="R335" s="1529"/>
      <c r="S335" s="1529"/>
      <c r="T335" s="1529"/>
      <c r="U335" s="1529"/>
      <c r="V335" s="1529"/>
      <c r="W335" s="1529"/>
      <c r="X335" s="1529"/>
      <c r="Y335" s="1529"/>
      <c r="Z335" s="1529"/>
      <c r="AA335" s="1529"/>
      <c r="AB335" s="1529"/>
      <c r="AC335" s="1529"/>
      <c r="AD335" s="1529"/>
      <c r="AE335" s="1529"/>
      <c r="AF335" s="1529"/>
      <c r="AG335" s="1529"/>
    </row>
    <row r="336" spans="1:33" ht="15.75" hidden="1" thickBot="1">
      <c r="A336" s="1530"/>
      <c r="B336" s="1532"/>
      <c r="C336" s="1530"/>
      <c r="D336" s="1410" t="s">
        <v>2449</v>
      </c>
      <c r="E336" s="1528" t="s">
        <v>2129</v>
      </c>
      <c r="F336" s="1528" t="s">
        <v>2129</v>
      </c>
      <c r="G336" s="1528" t="s">
        <v>2129</v>
      </c>
      <c r="H336" s="1528" t="s">
        <v>2129</v>
      </c>
      <c r="I336" s="1528" t="s">
        <v>2129</v>
      </c>
      <c r="J336" s="1528" t="s">
        <v>2129</v>
      </c>
      <c r="K336" s="1528" t="s">
        <v>2129</v>
      </c>
      <c r="L336" s="1528" t="s">
        <v>2166</v>
      </c>
      <c r="M336" s="1528">
        <v>796</v>
      </c>
      <c r="N336" s="1528">
        <v>6</v>
      </c>
      <c r="O336" s="1528">
        <v>6</v>
      </c>
      <c r="P336" s="1528"/>
      <c r="Q336" s="1528"/>
      <c r="R336" s="1528"/>
      <c r="S336" s="1528" t="s">
        <v>2129</v>
      </c>
      <c r="T336" s="1528" t="s">
        <v>2129</v>
      </c>
      <c r="U336" s="1528" t="s">
        <v>2129</v>
      </c>
      <c r="V336" s="1528" t="s">
        <v>2129</v>
      </c>
      <c r="W336" s="1528" t="s">
        <v>2129</v>
      </c>
      <c r="X336" s="1528" t="s">
        <v>2129</v>
      </c>
      <c r="Y336" s="1528" t="s">
        <v>2129</v>
      </c>
      <c r="Z336" s="1528" t="s">
        <v>2129</v>
      </c>
      <c r="AA336" s="1528" t="s">
        <v>2129</v>
      </c>
      <c r="AB336" s="1528" t="s">
        <v>2129</v>
      </c>
      <c r="AC336" s="1528" t="s">
        <v>2129</v>
      </c>
      <c r="AD336" s="1528" t="s">
        <v>2129</v>
      </c>
      <c r="AE336" s="1528" t="s">
        <v>2129</v>
      </c>
      <c r="AF336" s="1528" t="s">
        <v>2129</v>
      </c>
      <c r="AG336" s="1528" t="s">
        <v>2129</v>
      </c>
    </row>
    <row r="337" spans="1:33" ht="76.5" hidden="1" thickBot="1">
      <c r="A337" s="1530"/>
      <c r="B337" s="1532"/>
      <c r="C337" s="1530"/>
      <c r="D337" s="1409" t="s">
        <v>2451</v>
      </c>
      <c r="E337" s="1529"/>
      <c r="F337" s="1529"/>
      <c r="G337" s="1529"/>
      <c r="H337" s="1529"/>
      <c r="I337" s="1529"/>
      <c r="J337" s="1529"/>
      <c r="K337" s="1529"/>
      <c r="L337" s="1529"/>
      <c r="M337" s="1529"/>
      <c r="N337" s="1529"/>
      <c r="O337" s="1529"/>
      <c r="P337" s="1529"/>
      <c r="Q337" s="1529"/>
      <c r="R337" s="1529"/>
      <c r="S337" s="1529"/>
      <c r="T337" s="1529"/>
      <c r="U337" s="1529"/>
      <c r="V337" s="1529"/>
      <c r="W337" s="1529"/>
      <c r="X337" s="1529"/>
      <c r="Y337" s="1529"/>
      <c r="Z337" s="1529"/>
      <c r="AA337" s="1529"/>
      <c r="AB337" s="1529"/>
      <c r="AC337" s="1529"/>
      <c r="AD337" s="1529"/>
      <c r="AE337" s="1529"/>
      <c r="AF337" s="1529"/>
      <c r="AG337" s="1529"/>
    </row>
    <row r="338" spans="1:33" ht="15.75" hidden="1" thickBot="1">
      <c r="A338" s="1530"/>
      <c r="B338" s="1532"/>
      <c r="C338" s="1530"/>
      <c r="D338" s="1410" t="s">
        <v>2452</v>
      </c>
      <c r="E338" s="1528" t="s">
        <v>2129</v>
      </c>
      <c r="F338" s="1528" t="s">
        <v>2129</v>
      </c>
      <c r="G338" s="1528" t="s">
        <v>2129</v>
      </c>
      <c r="H338" s="1528" t="s">
        <v>2129</v>
      </c>
      <c r="I338" s="1528" t="s">
        <v>2129</v>
      </c>
      <c r="J338" s="1528" t="s">
        <v>2129</v>
      </c>
      <c r="K338" s="1528" t="s">
        <v>2129</v>
      </c>
      <c r="L338" s="1528" t="s">
        <v>2166</v>
      </c>
      <c r="M338" s="1528">
        <v>796</v>
      </c>
      <c r="N338" s="1528">
        <v>6</v>
      </c>
      <c r="O338" s="1528">
        <v>6</v>
      </c>
      <c r="P338" s="1528"/>
      <c r="Q338" s="1528"/>
      <c r="R338" s="1528"/>
      <c r="S338" s="1528" t="s">
        <v>2129</v>
      </c>
      <c r="T338" s="1528" t="s">
        <v>2129</v>
      </c>
      <c r="U338" s="1528" t="s">
        <v>2129</v>
      </c>
      <c r="V338" s="1528" t="s">
        <v>2129</v>
      </c>
      <c r="W338" s="1528" t="s">
        <v>2129</v>
      </c>
      <c r="X338" s="1528" t="s">
        <v>2129</v>
      </c>
      <c r="Y338" s="1528" t="s">
        <v>2129</v>
      </c>
      <c r="Z338" s="1528" t="s">
        <v>2129</v>
      </c>
      <c r="AA338" s="1528" t="s">
        <v>2129</v>
      </c>
      <c r="AB338" s="1528" t="s">
        <v>2129</v>
      </c>
      <c r="AC338" s="1528" t="s">
        <v>2129</v>
      </c>
      <c r="AD338" s="1528" t="s">
        <v>2129</v>
      </c>
      <c r="AE338" s="1528" t="s">
        <v>2129</v>
      </c>
      <c r="AF338" s="1528" t="s">
        <v>2129</v>
      </c>
      <c r="AG338" s="1528" t="s">
        <v>2129</v>
      </c>
    </row>
    <row r="339" spans="1:33" ht="101.25" hidden="1" thickBot="1">
      <c r="A339" s="1530"/>
      <c r="B339" s="1532"/>
      <c r="C339" s="1530"/>
      <c r="D339" s="1409" t="s">
        <v>2453</v>
      </c>
      <c r="E339" s="1529"/>
      <c r="F339" s="1529"/>
      <c r="G339" s="1529"/>
      <c r="H339" s="1529"/>
      <c r="I339" s="1529"/>
      <c r="J339" s="1529"/>
      <c r="K339" s="1529"/>
      <c r="L339" s="1529"/>
      <c r="M339" s="1529"/>
      <c r="N339" s="1529"/>
      <c r="O339" s="1529"/>
      <c r="P339" s="1529"/>
      <c r="Q339" s="1529"/>
      <c r="R339" s="1529"/>
      <c r="S339" s="1529"/>
      <c r="T339" s="1529"/>
      <c r="U339" s="1529"/>
      <c r="V339" s="1529"/>
      <c r="W339" s="1529"/>
      <c r="X339" s="1529"/>
      <c r="Y339" s="1529"/>
      <c r="Z339" s="1529"/>
      <c r="AA339" s="1529"/>
      <c r="AB339" s="1529"/>
      <c r="AC339" s="1529"/>
      <c r="AD339" s="1529"/>
      <c r="AE339" s="1529"/>
      <c r="AF339" s="1529"/>
      <c r="AG339" s="1529"/>
    </row>
    <row r="340" spans="1:33" ht="15.75" hidden="1" thickBot="1">
      <c r="A340" s="1530"/>
      <c r="B340" s="1532"/>
      <c r="C340" s="1530"/>
      <c r="D340" s="1410" t="s">
        <v>2454</v>
      </c>
      <c r="E340" s="1528" t="s">
        <v>2129</v>
      </c>
      <c r="F340" s="1528" t="s">
        <v>2129</v>
      </c>
      <c r="G340" s="1528" t="s">
        <v>2129</v>
      </c>
      <c r="H340" s="1528" t="s">
        <v>2129</v>
      </c>
      <c r="I340" s="1528" t="s">
        <v>2129</v>
      </c>
      <c r="J340" s="1528" t="s">
        <v>2129</v>
      </c>
      <c r="K340" s="1528" t="s">
        <v>2129</v>
      </c>
      <c r="L340" s="1528" t="s">
        <v>2166</v>
      </c>
      <c r="M340" s="1528">
        <v>796</v>
      </c>
      <c r="N340" s="1528">
        <v>1</v>
      </c>
      <c r="O340" s="1528">
        <v>1</v>
      </c>
      <c r="P340" s="1528"/>
      <c r="Q340" s="1528"/>
      <c r="R340" s="1528"/>
      <c r="S340" s="1528" t="s">
        <v>2129</v>
      </c>
      <c r="T340" s="1528" t="s">
        <v>2129</v>
      </c>
      <c r="U340" s="1528" t="s">
        <v>2129</v>
      </c>
      <c r="V340" s="1528" t="s">
        <v>2129</v>
      </c>
      <c r="W340" s="1528" t="s">
        <v>2129</v>
      </c>
      <c r="X340" s="1528" t="s">
        <v>2129</v>
      </c>
      <c r="Y340" s="1528" t="s">
        <v>2129</v>
      </c>
      <c r="Z340" s="1528" t="s">
        <v>2129</v>
      </c>
      <c r="AA340" s="1528" t="s">
        <v>2129</v>
      </c>
      <c r="AB340" s="1528" t="s">
        <v>2129</v>
      </c>
      <c r="AC340" s="1528" t="s">
        <v>2129</v>
      </c>
      <c r="AD340" s="1528" t="s">
        <v>2129</v>
      </c>
      <c r="AE340" s="1528" t="s">
        <v>2129</v>
      </c>
      <c r="AF340" s="1528" t="s">
        <v>2129</v>
      </c>
      <c r="AG340" s="1528" t="s">
        <v>2129</v>
      </c>
    </row>
    <row r="341" spans="1:33" ht="60" hidden="1" thickBot="1">
      <c r="A341" s="1530"/>
      <c r="B341" s="1532"/>
      <c r="C341" s="1530"/>
      <c r="D341" s="1409" t="s">
        <v>2455</v>
      </c>
      <c r="E341" s="1529"/>
      <c r="F341" s="1529"/>
      <c r="G341" s="1529"/>
      <c r="H341" s="1529"/>
      <c r="I341" s="1529"/>
      <c r="J341" s="1529"/>
      <c r="K341" s="1529"/>
      <c r="L341" s="1529"/>
      <c r="M341" s="1529"/>
      <c r="N341" s="1529"/>
      <c r="O341" s="1529"/>
      <c r="P341" s="1529"/>
      <c r="Q341" s="1529"/>
      <c r="R341" s="1529"/>
      <c r="S341" s="1529"/>
      <c r="T341" s="1529"/>
      <c r="U341" s="1529"/>
      <c r="V341" s="1529"/>
      <c r="W341" s="1529"/>
      <c r="X341" s="1529"/>
      <c r="Y341" s="1529"/>
      <c r="Z341" s="1529"/>
      <c r="AA341" s="1529"/>
      <c r="AB341" s="1529"/>
      <c r="AC341" s="1529"/>
      <c r="AD341" s="1529"/>
      <c r="AE341" s="1529"/>
      <c r="AF341" s="1529"/>
      <c r="AG341" s="1529"/>
    </row>
    <row r="342" spans="1:33" ht="15.75" hidden="1" thickBot="1">
      <c r="A342" s="1530"/>
      <c r="B342" s="1532"/>
      <c r="C342" s="1530"/>
      <c r="D342" s="1410" t="s">
        <v>2445</v>
      </c>
      <c r="E342" s="1528" t="s">
        <v>2129</v>
      </c>
      <c r="F342" s="1528" t="s">
        <v>2129</v>
      </c>
      <c r="G342" s="1528" t="s">
        <v>2129</v>
      </c>
      <c r="H342" s="1528" t="s">
        <v>2129</v>
      </c>
      <c r="I342" s="1528" t="s">
        <v>2129</v>
      </c>
      <c r="J342" s="1528" t="s">
        <v>2129</v>
      </c>
      <c r="K342" s="1528" t="s">
        <v>2129</v>
      </c>
      <c r="L342" s="1528" t="s">
        <v>2166</v>
      </c>
      <c r="M342" s="1528">
        <v>796</v>
      </c>
      <c r="N342" s="1528">
        <v>1</v>
      </c>
      <c r="O342" s="1528">
        <v>1</v>
      </c>
      <c r="P342" s="1528"/>
      <c r="Q342" s="1528"/>
      <c r="R342" s="1528"/>
      <c r="S342" s="1528" t="s">
        <v>2129</v>
      </c>
      <c r="T342" s="1528" t="s">
        <v>2129</v>
      </c>
      <c r="U342" s="1528" t="s">
        <v>2129</v>
      </c>
      <c r="V342" s="1528" t="s">
        <v>2129</v>
      </c>
      <c r="W342" s="1528" t="s">
        <v>2129</v>
      </c>
      <c r="X342" s="1528" t="s">
        <v>2129</v>
      </c>
      <c r="Y342" s="1528" t="s">
        <v>2129</v>
      </c>
      <c r="Z342" s="1528" t="s">
        <v>2129</v>
      </c>
      <c r="AA342" s="1528" t="s">
        <v>2129</v>
      </c>
      <c r="AB342" s="1528" t="s">
        <v>2129</v>
      </c>
      <c r="AC342" s="1528" t="s">
        <v>2129</v>
      </c>
      <c r="AD342" s="1528" t="s">
        <v>2129</v>
      </c>
      <c r="AE342" s="1528" t="s">
        <v>2129</v>
      </c>
      <c r="AF342" s="1528" t="s">
        <v>2129</v>
      </c>
      <c r="AG342" s="1528" t="s">
        <v>2129</v>
      </c>
    </row>
    <row r="343" spans="1:33" ht="60" hidden="1" thickBot="1">
      <c r="A343" s="1530"/>
      <c r="B343" s="1532"/>
      <c r="C343" s="1530"/>
      <c r="D343" s="1409" t="s">
        <v>2456</v>
      </c>
      <c r="E343" s="1529"/>
      <c r="F343" s="1529"/>
      <c r="G343" s="1529"/>
      <c r="H343" s="1529"/>
      <c r="I343" s="1529"/>
      <c r="J343" s="1529"/>
      <c r="K343" s="1529"/>
      <c r="L343" s="1529"/>
      <c r="M343" s="1529"/>
      <c r="N343" s="1529"/>
      <c r="O343" s="1529"/>
      <c r="P343" s="1529"/>
      <c r="Q343" s="1529"/>
      <c r="R343" s="1529"/>
      <c r="S343" s="1529"/>
      <c r="T343" s="1529"/>
      <c r="U343" s="1529"/>
      <c r="V343" s="1529"/>
      <c r="W343" s="1529"/>
      <c r="X343" s="1529"/>
      <c r="Y343" s="1529"/>
      <c r="Z343" s="1529"/>
      <c r="AA343" s="1529"/>
      <c r="AB343" s="1529"/>
      <c r="AC343" s="1529"/>
      <c r="AD343" s="1529"/>
      <c r="AE343" s="1529"/>
      <c r="AF343" s="1529"/>
      <c r="AG343" s="1529"/>
    </row>
    <row r="344" spans="1:33" ht="15.75" hidden="1" thickBot="1">
      <c r="A344" s="1530"/>
      <c r="B344" s="1532"/>
      <c r="C344" s="1530"/>
      <c r="D344" s="1410" t="s">
        <v>2457</v>
      </c>
      <c r="E344" s="1528" t="s">
        <v>2129</v>
      </c>
      <c r="F344" s="1528" t="s">
        <v>2129</v>
      </c>
      <c r="G344" s="1528" t="s">
        <v>2129</v>
      </c>
      <c r="H344" s="1528" t="s">
        <v>2129</v>
      </c>
      <c r="I344" s="1528" t="s">
        <v>2129</v>
      </c>
      <c r="J344" s="1528" t="s">
        <v>2129</v>
      </c>
      <c r="K344" s="1528" t="s">
        <v>2129</v>
      </c>
      <c r="L344" s="1528" t="s">
        <v>2166</v>
      </c>
      <c r="M344" s="1528">
        <v>796</v>
      </c>
      <c r="N344" s="1528">
        <v>1</v>
      </c>
      <c r="O344" s="1528">
        <v>1</v>
      </c>
      <c r="P344" s="1528"/>
      <c r="Q344" s="1528"/>
      <c r="R344" s="1528"/>
      <c r="S344" s="1528" t="s">
        <v>2129</v>
      </c>
      <c r="T344" s="1528" t="s">
        <v>2129</v>
      </c>
      <c r="U344" s="1528" t="s">
        <v>2129</v>
      </c>
      <c r="V344" s="1528" t="s">
        <v>2129</v>
      </c>
      <c r="W344" s="1528" t="s">
        <v>2129</v>
      </c>
      <c r="X344" s="1528" t="s">
        <v>2129</v>
      </c>
      <c r="Y344" s="1528" t="s">
        <v>2129</v>
      </c>
      <c r="Z344" s="1528" t="s">
        <v>2129</v>
      </c>
      <c r="AA344" s="1528" t="s">
        <v>2129</v>
      </c>
      <c r="AB344" s="1528" t="s">
        <v>2129</v>
      </c>
      <c r="AC344" s="1528" t="s">
        <v>2129</v>
      </c>
      <c r="AD344" s="1528" t="s">
        <v>2129</v>
      </c>
      <c r="AE344" s="1528" t="s">
        <v>2129</v>
      </c>
      <c r="AF344" s="1528" t="s">
        <v>2129</v>
      </c>
      <c r="AG344" s="1528" t="s">
        <v>2129</v>
      </c>
    </row>
    <row r="345" spans="1:33" ht="60" hidden="1" thickBot="1">
      <c r="A345" s="1530"/>
      <c r="B345" s="1532"/>
      <c r="C345" s="1530"/>
      <c r="D345" s="1409" t="s">
        <v>2456</v>
      </c>
      <c r="E345" s="1529"/>
      <c r="F345" s="1529"/>
      <c r="G345" s="1529"/>
      <c r="H345" s="1529"/>
      <c r="I345" s="1529"/>
      <c r="J345" s="1529"/>
      <c r="K345" s="1529"/>
      <c r="L345" s="1529"/>
      <c r="M345" s="1529"/>
      <c r="N345" s="1529"/>
      <c r="O345" s="1529"/>
      <c r="P345" s="1529"/>
      <c r="Q345" s="1529"/>
      <c r="R345" s="1529"/>
      <c r="S345" s="1529"/>
      <c r="T345" s="1529"/>
      <c r="U345" s="1529"/>
      <c r="V345" s="1529"/>
      <c r="W345" s="1529"/>
      <c r="X345" s="1529"/>
      <c r="Y345" s="1529"/>
      <c r="Z345" s="1529"/>
      <c r="AA345" s="1529"/>
      <c r="AB345" s="1529"/>
      <c r="AC345" s="1529"/>
      <c r="AD345" s="1529"/>
      <c r="AE345" s="1529"/>
      <c r="AF345" s="1529"/>
      <c r="AG345" s="1529"/>
    </row>
    <row r="346" spans="1:33" ht="15.75" hidden="1" thickBot="1">
      <c r="A346" s="1530"/>
      <c r="B346" s="1532"/>
      <c r="C346" s="1530"/>
      <c r="D346" s="1410" t="s">
        <v>2458</v>
      </c>
      <c r="E346" s="1528" t="s">
        <v>2129</v>
      </c>
      <c r="F346" s="1528" t="s">
        <v>2129</v>
      </c>
      <c r="G346" s="1528" t="s">
        <v>2129</v>
      </c>
      <c r="H346" s="1528" t="s">
        <v>2129</v>
      </c>
      <c r="I346" s="1528" t="s">
        <v>2129</v>
      </c>
      <c r="J346" s="1528" t="s">
        <v>2129</v>
      </c>
      <c r="K346" s="1528" t="s">
        <v>2129</v>
      </c>
      <c r="L346" s="1528" t="s">
        <v>2166</v>
      </c>
      <c r="M346" s="1528">
        <v>796</v>
      </c>
      <c r="N346" s="1528">
        <v>1</v>
      </c>
      <c r="O346" s="1528">
        <v>1</v>
      </c>
      <c r="P346" s="1528"/>
      <c r="Q346" s="1528"/>
      <c r="R346" s="1528"/>
      <c r="S346" s="1528" t="s">
        <v>2129</v>
      </c>
      <c r="T346" s="1528" t="s">
        <v>2129</v>
      </c>
      <c r="U346" s="1528" t="s">
        <v>2129</v>
      </c>
      <c r="V346" s="1528" t="s">
        <v>2129</v>
      </c>
      <c r="W346" s="1528" t="s">
        <v>2129</v>
      </c>
      <c r="X346" s="1528" t="s">
        <v>2129</v>
      </c>
      <c r="Y346" s="1528" t="s">
        <v>2129</v>
      </c>
      <c r="Z346" s="1528" t="s">
        <v>2129</v>
      </c>
      <c r="AA346" s="1528" t="s">
        <v>2129</v>
      </c>
      <c r="AB346" s="1528" t="s">
        <v>2129</v>
      </c>
      <c r="AC346" s="1528" t="s">
        <v>2129</v>
      </c>
      <c r="AD346" s="1528" t="s">
        <v>2129</v>
      </c>
      <c r="AE346" s="1528" t="s">
        <v>2129</v>
      </c>
      <c r="AF346" s="1528" t="s">
        <v>2129</v>
      </c>
      <c r="AG346" s="1528" t="s">
        <v>2129</v>
      </c>
    </row>
    <row r="347" spans="1:33" ht="84.75" hidden="1" thickBot="1">
      <c r="A347" s="1530"/>
      <c r="B347" s="1532"/>
      <c r="C347" s="1530"/>
      <c r="D347" s="1409" t="s">
        <v>2459</v>
      </c>
      <c r="E347" s="1529"/>
      <c r="F347" s="1529"/>
      <c r="G347" s="1529"/>
      <c r="H347" s="1529"/>
      <c r="I347" s="1529"/>
      <c r="J347" s="1529"/>
      <c r="K347" s="1529"/>
      <c r="L347" s="1529"/>
      <c r="M347" s="1529"/>
      <c r="N347" s="1529"/>
      <c r="O347" s="1529"/>
      <c r="P347" s="1529"/>
      <c r="Q347" s="1529"/>
      <c r="R347" s="1529"/>
      <c r="S347" s="1529"/>
      <c r="T347" s="1529"/>
      <c r="U347" s="1529"/>
      <c r="V347" s="1529"/>
      <c r="W347" s="1529"/>
      <c r="X347" s="1529"/>
      <c r="Y347" s="1529"/>
      <c r="Z347" s="1529"/>
      <c r="AA347" s="1529"/>
      <c r="AB347" s="1529"/>
      <c r="AC347" s="1529"/>
      <c r="AD347" s="1529"/>
      <c r="AE347" s="1529"/>
      <c r="AF347" s="1529"/>
      <c r="AG347" s="1529"/>
    </row>
    <row r="348" spans="1:33" ht="15.75" hidden="1" thickBot="1">
      <c r="A348" s="1530"/>
      <c r="B348" s="1532"/>
      <c r="C348" s="1530"/>
      <c r="D348" s="1410" t="s">
        <v>2460</v>
      </c>
      <c r="E348" s="1528" t="s">
        <v>2129</v>
      </c>
      <c r="F348" s="1528" t="s">
        <v>2129</v>
      </c>
      <c r="G348" s="1528" t="s">
        <v>2129</v>
      </c>
      <c r="H348" s="1528" t="s">
        <v>2129</v>
      </c>
      <c r="I348" s="1528" t="s">
        <v>2129</v>
      </c>
      <c r="J348" s="1528" t="s">
        <v>2129</v>
      </c>
      <c r="K348" s="1528" t="s">
        <v>2129</v>
      </c>
      <c r="L348" s="1528" t="s">
        <v>2166</v>
      </c>
      <c r="M348" s="1528">
        <v>796</v>
      </c>
      <c r="N348" s="1528">
        <v>2</v>
      </c>
      <c r="O348" s="1528">
        <v>2</v>
      </c>
      <c r="P348" s="1528"/>
      <c r="Q348" s="1528"/>
      <c r="R348" s="1528"/>
      <c r="S348" s="1528" t="s">
        <v>2129</v>
      </c>
      <c r="T348" s="1528" t="s">
        <v>2129</v>
      </c>
      <c r="U348" s="1528" t="s">
        <v>2129</v>
      </c>
      <c r="V348" s="1528" t="s">
        <v>2129</v>
      </c>
      <c r="W348" s="1528" t="s">
        <v>2129</v>
      </c>
      <c r="X348" s="1528" t="s">
        <v>2129</v>
      </c>
      <c r="Y348" s="1528" t="s">
        <v>2129</v>
      </c>
      <c r="Z348" s="1528" t="s">
        <v>2129</v>
      </c>
      <c r="AA348" s="1528" t="s">
        <v>2129</v>
      </c>
      <c r="AB348" s="1528" t="s">
        <v>2129</v>
      </c>
      <c r="AC348" s="1528" t="s">
        <v>2129</v>
      </c>
      <c r="AD348" s="1528" t="s">
        <v>2129</v>
      </c>
      <c r="AE348" s="1528" t="s">
        <v>2129</v>
      </c>
      <c r="AF348" s="1528" t="s">
        <v>2129</v>
      </c>
      <c r="AG348" s="1528" t="s">
        <v>2129</v>
      </c>
    </row>
    <row r="349" spans="1:33" ht="68.25" hidden="1" thickBot="1">
      <c r="A349" s="1530"/>
      <c r="B349" s="1532"/>
      <c r="C349" s="1530"/>
      <c r="D349" s="1409" t="s">
        <v>2461</v>
      </c>
      <c r="E349" s="1529"/>
      <c r="F349" s="1529"/>
      <c r="G349" s="1529"/>
      <c r="H349" s="1529"/>
      <c r="I349" s="1529"/>
      <c r="J349" s="1529"/>
      <c r="K349" s="1529"/>
      <c r="L349" s="1529"/>
      <c r="M349" s="1529"/>
      <c r="N349" s="1529"/>
      <c r="O349" s="1529"/>
      <c r="P349" s="1529"/>
      <c r="Q349" s="1529"/>
      <c r="R349" s="1529"/>
      <c r="S349" s="1529"/>
      <c r="T349" s="1529"/>
      <c r="U349" s="1529"/>
      <c r="V349" s="1529"/>
      <c r="W349" s="1529"/>
      <c r="X349" s="1529"/>
      <c r="Y349" s="1529"/>
      <c r="Z349" s="1529"/>
      <c r="AA349" s="1529"/>
      <c r="AB349" s="1529"/>
      <c r="AC349" s="1529"/>
      <c r="AD349" s="1529"/>
      <c r="AE349" s="1529"/>
      <c r="AF349" s="1529"/>
      <c r="AG349" s="1529"/>
    </row>
    <row r="350" spans="1:33" ht="43.5" hidden="1" thickBot="1">
      <c r="A350" s="1530"/>
      <c r="B350" s="1532"/>
      <c r="C350" s="1530"/>
      <c r="D350" s="1410" t="s">
        <v>814</v>
      </c>
      <c r="E350" s="1528" t="s">
        <v>2129</v>
      </c>
      <c r="F350" s="1528" t="s">
        <v>2129</v>
      </c>
      <c r="G350" s="1528" t="s">
        <v>2129</v>
      </c>
      <c r="H350" s="1528" t="s">
        <v>2129</v>
      </c>
      <c r="I350" s="1528" t="s">
        <v>2129</v>
      </c>
      <c r="J350" s="1528" t="s">
        <v>2129</v>
      </c>
      <c r="K350" s="1528" t="s">
        <v>2129</v>
      </c>
      <c r="L350" s="1528" t="s">
        <v>2166</v>
      </c>
      <c r="M350" s="1528">
        <v>796</v>
      </c>
      <c r="N350" s="1528">
        <v>2</v>
      </c>
      <c r="O350" s="1528">
        <v>2</v>
      </c>
      <c r="P350" s="1528"/>
      <c r="Q350" s="1528"/>
      <c r="R350" s="1528"/>
      <c r="S350" s="1528" t="s">
        <v>2129</v>
      </c>
      <c r="T350" s="1528" t="s">
        <v>2129</v>
      </c>
      <c r="U350" s="1528" t="s">
        <v>2129</v>
      </c>
      <c r="V350" s="1528" t="s">
        <v>2129</v>
      </c>
      <c r="W350" s="1528" t="s">
        <v>2129</v>
      </c>
      <c r="X350" s="1528" t="s">
        <v>2129</v>
      </c>
      <c r="Y350" s="1528" t="s">
        <v>2129</v>
      </c>
      <c r="Z350" s="1528" t="s">
        <v>2129</v>
      </c>
      <c r="AA350" s="1528" t="s">
        <v>2129</v>
      </c>
      <c r="AB350" s="1528" t="s">
        <v>2129</v>
      </c>
      <c r="AC350" s="1528" t="s">
        <v>2129</v>
      </c>
      <c r="AD350" s="1528" t="s">
        <v>2129</v>
      </c>
      <c r="AE350" s="1528" t="s">
        <v>2129</v>
      </c>
      <c r="AF350" s="1528" t="s">
        <v>2129</v>
      </c>
      <c r="AG350" s="1528" t="s">
        <v>2129</v>
      </c>
    </row>
    <row r="351" spans="1:33" ht="84.75" hidden="1" thickBot="1">
      <c r="A351" s="1529"/>
      <c r="B351" s="1533"/>
      <c r="C351" s="1529"/>
      <c r="D351" s="1409" t="s">
        <v>2459</v>
      </c>
      <c r="E351" s="1529"/>
      <c r="F351" s="1529"/>
      <c r="G351" s="1529"/>
      <c r="H351" s="1529"/>
      <c r="I351" s="1529"/>
      <c r="J351" s="1529"/>
      <c r="K351" s="1529"/>
      <c r="L351" s="1529"/>
      <c r="M351" s="1529"/>
      <c r="N351" s="1529"/>
      <c r="O351" s="1529"/>
      <c r="P351" s="1529"/>
      <c r="Q351" s="1529"/>
      <c r="R351" s="1529"/>
      <c r="S351" s="1529"/>
      <c r="T351" s="1529"/>
      <c r="U351" s="1529"/>
      <c r="V351" s="1529"/>
      <c r="W351" s="1529"/>
      <c r="X351" s="1529"/>
      <c r="Y351" s="1529"/>
      <c r="Z351" s="1529"/>
      <c r="AA351" s="1529"/>
      <c r="AB351" s="1529"/>
      <c r="AC351" s="1529"/>
      <c r="AD351" s="1529"/>
      <c r="AE351" s="1529"/>
      <c r="AF351" s="1529"/>
      <c r="AG351" s="1529"/>
    </row>
    <row r="352" spans="1:33" ht="25.5" hidden="1" customHeight="1">
      <c r="A352" s="1528">
        <v>54</v>
      </c>
      <c r="B352" s="1531">
        <v>1.7224300000000002E+35</v>
      </c>
      <c r="C352" s="1528" t="s">
        <v>2462</v>
      </c>
      <c r="D352" s="1528" t="s">
        <v>2463</v>
      </c>
      <c r="E352" s="1528">
        <v>588874</v>
      </c>
      <c r="F352" s="1528"/>
      <c r="G352" s="1528">
        <v>588874</v>
      </c>
      <c r="H352" s="1528">
        <v>280030</v>
      </c>
      <c r="I352" s="1528">
        <v>154422</v>
      </c>
      <c r="J352" s="1528">
        <v>154422</v>
      </c>
      <c r="K352" s="1528">
        <v>0</v>
      </c>
      <c r="L352" s="1528" t="s">
        <v>2129</v>
      </c>
      <c r="M352" s="1528" t="s">
        <v>2129</v>
      </c>
      <c r="N352" s="1528" t="s">
        <v>2129</v>
      </c>
      <c r="O352" s="1528" t="s">
        <v>2129</v>
      </c>
      <c r="P352" s="1528" t="s">
        <v>2129</v>
      </c>
      <c r="Q352" s="1528" t="s">
        <v>2129</v>
      </c>
      <c r="R352" s="1528" t="s">
        <v>2129</v>
      </c>
      <c r="S352" s="1410" t="s">
        <v>2163</v>
      </c>
      <c r="T352" s="1528"/>
      <c r="U352" s="1528"/>
      <c r="V352" s="1528">
        <v>6.2016999999999998</v>
      </c>
      <c r="W352" s="1528">
        <v>8.2017000000000007</v>
      </c>
      <c r="X352" s="1528" t="s">
        <v>2131</v>
      </c>
      <c r="Y352" s="1528" t="s">
        <v>2132</v>
      </c>
      <c r="Z352" s="1528" t="s">
        <v>2132</v>
      </c>
      <c r="AA352" s="1528"/>
      <c r="AB352" s="1528"/>
      <c r="AC352" s="1528"/>
      <c r="AD352" s="1528" t="s">
        <v>2133</v>
      </c>
      <c r="AE352" s="1410" t="s">
        <v>2134</v>
      </c>
      <c r="AF352" s="1528"/>
      <c r="AG352" s="1528"/>
    </row>
    <row r="353" spans="1:33" ht="76.5" hidden="1" thickBot="1">
      <c r="A353" s="1530"/>
      <c r="B353" s="1532"/>
      <c r="C353" s="1530"/>
      <c r="D353" s="1529"/>
      <c r="E353" s="1529"/>
      <c r="F353" s="1529"/>
      <c r="G353" s="1529"/>
      <c r="H353" s="1529"/>
      <c r="I353" s="1529"/>
      <c r="J353" s="1529"/>
      <c r="K353" s="1529"/>
      <c r="L353" s="1529"/>
      <c r="M353" s="1529"/>
      <c r="N353" s="1529"/>
      <c r="O353" s="1529"/>
      <c r="P353" s="1529"/>
      <c r="Q353" s="1529"/>
      <c r="R353" s="1529"/>
      <c r="S353" s="1409" t="s">
        <v>2464</v>
      </c>
      <c r="T353" s="1529"/>
      <c r="U353" s="1529"/>
      <c r="V353" s="1529"/>
      <c r="W353" s="1529"/>
      <c r="X353" s="1529"/>
      <c r="Y353" s="1529"/>
      <c r="Z353" s="1529"/>
      <c r="AA353" s="1529"/>
      <c r="AB353" s="1529"/>
      <c r="AC353" s="1529"/>
      <c r="AD353" s="1529"/>
      <c r="AE353" s="1409" t="s">
        <v>2136</v>
      </c>
      <c r="AF353" s="1529"/>
      <c r="AG353" s="1529"/>
    </row>
    <row r="354" spans="1:33" ht="35.25" hidden="1" thickBot="1">
      <c r="A354" s="1530"/>
      <c r="B354" s="1532"/>
      <c r="C354" s="1530"/>
      <c r="D354" s="1409" t="s">
        <v>2465</v>
      </c>
      <c r="E354" s="1409" t="s">
        <v>2129</v>
      </c>
      <c r="F354" s="1409" t="s">
        <v>2129</v>
      </c>
      <c r="G354" s="1409" t="s">
        <v>2129</v>
      </c>
      <c r="H354" s="1409" t="s">
        <v>2129</v>
      </c>
      <c r="I354" s="1409" t="s">
        <v>2129</v>
      </c>
      <c r="J354" s="1409" t="s">
        <v>2129</v>
      </c>
      <c r="K354" s="1409" t="s">
        <v>2129</v>
      </c>
      <c r="L354" s="1409" t="s">
        <v>2166</v>
      </c>
      <c r="M354" s="1409">
        <v>796</v>
      </c>
      <c r="N354" s="1409">
        <v>30</v>
      </c>
      <c r="O354" s="1409">
        <v>30</v>
      </c>
      <c r="P354" s="1409"/>
      <c r="Q354" s="1409"/>
      <c r="R354" s="1409"/>
      <c r="S354" s="1409" t="s">
        <v>2129</v>
      </c>
      <c r="T354" s="1409" t="s">
        <v>2129</v>
      </c>
      <c r="U354" s="1409" t="s">
        <v>2129</v>
      </c>
      <c r="V354" s="1409" t="s">
        <v>2129</v>
      </c>
      <c r="W354" s="1409" t="s">
        <v>2129</v>
      </c>
      <c r="X354" s="1409" t="s">
        <v>2129</v>
      </c>
      <c r="Y354" s="1409" t="s">
        <v>2129</v>
      </c>
      <c r="Z354" s="1409" t="s">
        <v>2129</v>
      </c>
      <c r="AA354" s="1409" t="s">
        <v>2129</v>
      </c>
      <c r="AB354" s="1409" t="s">
        <v>2129</v>
      </c>
      <c r="AC354" s="1409" t="s">
        <v>2129</v>
      </c>
      <c r="AD354" s="1409" t="s">
        <v>2129</v>
      </c>
      <c r="AE354" s="1409" t="s">
        <v>2129</v>
      </c>
      <c r="AF354" s="1409" t="s">
        <v>2129</v>
      </c>
      <c r="AG354" s="1409" t="s">
        <v>2129</v>
      </c>
    </row>
    <row r="355" spans="1:33" ht="18.75" hidden="1" thickBot="1">
      <c r="A355" s="1530"/>
      <c r="B355" s="1532"/>
      <c r="C355" s="1530"/>
      <c r="D355" s="1409" t="s">
        <v>1396</v>
      </c>
      <c r="E355" s="1409" t="s">
        <v>2129</v>
      </c>
      <c r="F355" s="1409" t="s">
        <v>2129</v>
      </c>
      <c r="G355" s="1409" t="s">
        <v>2129</v>
      </c>
      <c r="H355" s="1409" t="s">
        <v>2129</v>
      </c>
      <c r="I355" s="1409" t="s">
        <v>2129</v>
      </c>
      <c r="J355" s="1409" t="s">
        <v>2129</v>
      </c>
      <c r="K355" s="1409" t="s">
        <v>2129</v>
      </c>
      <c r="L355" s="1409" t="s">
        <v>2433</v>
      </c>
      <c r="M355" s="1409">
        <v>715</v>
      </c>
      <c r="N355" s="1409">
        <v>42</v>
      </c>
      <c r="O355" s="1409">
        <v>42</v>
      </c>
      <c r="P355" s="1409"/>
      <c r="Q355" s="1409"/>
      <c r="R355" s="1409"/>
      <c r="S355" s="1409" t="s">
        <v>2129</v>
      </c>
      <c r="T355" s="1409" t="s">
        <v>2129</v>
      </c>
      <c r="U355" s="1409" t="s">
        <v>2129</v>
      </c>
      <c r="V355" s="1409" t="s">
        <v>2129</v>
      </c>
      <c r="W355" s="1409" t="s">
        <v>2129</v>
      </c>
      <c r="X355" s="1409" t="s">
        <v>2129</v>
      </c>
      <c r="Y355" s="1409" t="s">
        <v>2129</v>
      </c>
      <c r="Z355" s="1409" t="s">
        <v>2129</v>
      </c>
      <c r="AA355" s="1409" t="s">
        <v>2129</v>
      </c>
      <c r="AB355" s="1409" t="s">
        <v>2129</v>
      </c>
      <c r="AC355" s="1409" t="s">
        <v>2129</v>
      </c>
      <c r="AD355" s="1409" t="s">
        <v>2129</v>
      </c>
      <c r="AE355" s="1409" t="s">
        <v>2129</v>
      </c>
      <c r="AF355" s="1409" t="s">
        <v>2129</v>
      </c>
      <c r="AG355" s="1409" t="s">
        <v>2129</v>
      </c>
    </row>
    <row r="356" spans="1:33" ht="35.25" hidden="1" thickBot="1">
      <c r="A356" s="1530"/>
      <c r="B356" s="1532"/>
      <c r="C356" s="1530"/>
      <c r="D356" s="1409" t="s">
        <v>1397</v>
      </c>
      <c r="E356" s="1409" t="s">
        <v>2129</v>
      </c>
      <c r="F356" s="1409" t="s">
        <v>2129</v>
      </c>
      <c r="G356" s="1409" t="s">
        <v>2129</v>
      </c>
      <c r="H356" s="1409" t="s">
        <v>2129</v>
      </c>
      <c r="I356" s="1409" t="s">
        <v>2129</v>
      </c>
      <c r="J356" s="1409" t="s">
        <v>2129</v>
      </c>
      <c r="K356" s="1409" t="s">
        <v>2129</v>
      </c>
      <c r="L356" s="1409" t="s">
        <v>2166</v>
      </c>
      <c r="M356" s="1409">
        <v>796</v>
      </c>
      <c r="N356" s="1409">
        <v>48</v>
      </c>
      <c r="O356" s="1409">
        <v>48</v>
      </c>
      <c r="P356" s="1409"/>
      <c r="Q356" s="1409"/>
      <c r="R356" s="1409"/>
      <c r="S356" s="1409" t="s">
        <v>2129</v>
      </c>
      <c r="T356" s="1409" t="s">
        <v>2129</v>
      </c>
      <c r="U356" s="1409" t="s">
        <v>2129</v>
      </c>
      <c r="V356" s="1409" t="s">
        <v>2129</v>
      </c>
      <c r="W356" s="1409" t="s">
        <v>2129</v>
      </c>
      <c r="X356" s="1409" t="s">
        <v>2129</v>
      </c>
      <c r="Y356" s="1409" t="s">
        <v>2129</v>
      </c>
      <c r="Z356" s="1409" t="s">
        <v>2129</v>
      </c>
      <c r="AA356" s="1409" t="s">
        <v>2129</v>
      </c>
      <c r="AB356" s="1409" t="s">
        <v>2129</v>
      </c>
      <c r="AC356" s="1409" t="s">
        <v>2129</v>
      </c>
      <c r="AD356" s="1409" t="s">
        <v>2129</v>
      </c>
      <c r="AE356" s="1409" t="s">
        <v>2129</v>
      </c>
      <c r="AF356" s="1409" t="s">
        <v>2129</v>
      </c>
      <c r="AG356" s="1409" t="s">
        <v>2129</v>
      </c>
    </row>
    <row r="357" spans="1:33" ht="18.75" hidden="1" thickBot="1">
      <c r="A357" s="1530"/>
      <c r="B357" s="1532"/>
      <c r="C357" s="1530"/>
      <c r="D357" s="1409" t="s">
        <v>1398</v>
      </c>
      <c r="E357" s="1409" t="s">
        <v>2129</v>
      </c>
      <c r="F357" s="1409" t="s">
        <v>2129</v>
      </c>
      <c r="G357" s="1409" t="s">
        <v>2129</v>
      </c>
      <c r="H357" s="1409" t="s">
        <v>2129</v>
      </c>
      <c r="I357" s="1409" t="s">
        <v>2129</v>
      </c>
      <c r="J357" s="1409" t="s">
        <v>2129</v>
      </c>
      <c r="K357" s="1409" t="s">
        <v>2129</v>
      </c>
      <c r="L357" s="1409" t="s">
        <v>2166</v>
      </c>
      <c r="M357" s="1409">
        <v>796</v>
      </c>
      <c r="N357" s="1409">
        <v>81</v>
      </c>
      <c r="O357" s="1409">
        <v>81</v>
      </c>
      <c r="P357" s="1409"/>
      <c r="Q357" s="1409"/>
      <c r="R357" s="1409"/>
      <c r="S357" s="1409" t="s">
        <v>2129</v>
      </c>
      <c r="T357" s="1409" t="s">
        <v>2129</v>
      </c>
      <c r="U357" s="1409" t="s">
        <v>2129</v>
      </c>
      <c r="V357" s="1409" t="s">
        <v>2129</v>
      </c>
      <c r="W357" s="1409" t="s">
        <v>2129</v>
      </c>
      <c r="X357" s="1409" t="s">
        <v>2129</v>
      </c>
      <c r="Y357" s="1409" t="s">
        <v>2129</v>
      </c>
      <c r="Z357" s="1409" t="s">
        <v>2129</v>
      </c>
      <c r="AA357" s="1409" t="s">
        <v>2129</v>
      </c>
      <c r="AB357" s="1409" t="s">
        <v>2129</v>
      </c>
      <c r="AC357" s="1409" t="s">
        <v>2129</v>
      </c>
      <c r="AD357" s="1409" t="s">
        <v>2129</v>
      </c>
      <c r="AE357" s="1409" t="s">
        <v>2129</v>
      </c>
      <c r="AF357" s="1409" t="s">
        <v>2129</v>
      </c>
      <c r="AG357" s="1409" t="s">
        <v>2129</v>
      </c>
    </row>
    <row r="358" spans="1:33" ht="18.75" hidden="1" thickBot="1">
      <c r="A358" s="1530"/>
      <c r="B358" s="1532"/>
      <c r="C358" s="1530"/>
      <c r="D358" s="1409" t="s">
        <v>1399</v>
      </c>
      <c r="E358" s="1409" t="s">
        <v>2129</v>
      </c>
      <c r="F358" s="1409" t="s">
        <v>2129</v>
      </c>
      <c r="G358" s="1409" t="s">
        <v>2129</v>
      </c>
      <c r="H358" s="1409" t="s">
        <v>2129</v>
      </c>
      <c r="I358" s="1409" t="s">
        <v>2129</v>
      </c>
      <c r="J358" s="1409" t="s">
        <v>2129</v>
      </c>
      <c r="K358" s="1409" t="s">
        <v>2129</v>
      </c>
      <c r="L358" s="1409" t="s">
        <v>2166</v>
      </c>
      <c r="M358" s="1409">
        <v>796</v>
      </c>
      <c r="N358" s="1409">
        <v>48</v>
      </c>
      <c r="O358" s="1409">
        <v>48</v>
      </c>
      <c r="P358" s="1409"/>
      <c r="Q358" s="1409"/>
      <c r="R358" s="1409"/>
      <c r="S358" s="1409" t="s">
        <v>2129</v>
      </c>
      <c r="T358" s="1409" t="s">
        <v>2129</v>
      </c>
      <c r="U358" s="1409" t="s">
        <v>2129</v>
      </c>
      <c r="V358" s="1409" t="s">
        <v>2129</v>
      </c>
      <c r="W358" s="1409" t="s">
        <v>2129</v>
      </c>
      <c r="X358" s="1409" t="s">
        <v>2129</v>
      </c>
      <c r="Y358" s="1409" t="s">
        <v>2129</v>
      </c>
      <c r="Z358" s="1409" t="s">
        <v>2129</v>
      </c>
      <c r="AA358" s="1409" t="s">
        <v>2129</v>
      </c>
      <c r="AB358" s="1409" t="s">
        <v>2129</v>
      </c>
      <c r="AC358" s="1409" t="s">
        <v>2129</v>
      </c>
      <c r="AD358" s="1409" t="s">
        <v>2129</v>
      </c>
      <c r="AE358" s="1409" t="s">
        <v>2129</v>
      </c>
      <c r="AF358" s="1409" t="s">
        <v>2129</v>
      </c>
      <c r="AG358" s="1409" t="s">
        <v>2129</v>
      </c>
    </row>
    <row r="359" spans="1:33" ht="18.75" hidden="1" thickBot="1">
      <c r="A359" s="1530"/>
      <c r="B359" s="1532"/>
      <c r="C359" s="1530"/>
      <c r="D359" s="1409" t="s">
        <v>1400</v>
      </c>
      <c r="E359" s="1409" t="s">
        <v>2129</v>
      </c>
      <c r="F359" s="1409" t="s">
        <v>2129</v>
      </c>
      <c r="G359" s="1409" t="s">
        <v>2129</v>
      </c>
      <c r="H359" s="1409" t="s">
        <v>2129</v>
      </c>
      <c r="I359" s="1409" t="s">
        <v>2129</v>
      </c>
      <c r="J359" s="1409" t="s">
        <v>2129</v>
      </c>
      <c r="K359" s="1409" t="s">
        <v>2129</v>
      </c>
      <c r="L359" s="1409" t="s">
        <v>2166</v>
      </c>
      <c r="M359" s="1409">
        <v>796</v>
      </c>
      <c r="N359" s="1409">
        <v>96</v>
      </c>
      <c r="O359" s="1409">
        <v>96</v>
      </c>
      <c r="P359" s="1409"/>
      <c r="Q359" s="1409"/>
      <c r="R359" s="1409"/>
      <c r="S359" s="1409" t="s">
        <v>2129</v>
      </c>
      <c r="T359" s="1409" t="s">
        <v>2129</v>
      </c>
      <c r="U359" s="1409" t="s">
        <v>2129</v>
      </c>
      <c r="V359" s="1409" t="s">
        <v>2129</v>
      </c>
      <c r="W359" s="1409" t="s">
        <v>2129</v>
      </c>
      <c r="X359" s="1409" t="s">
        <v>2129</v>
      </c>
      <c r="Y359" s="1409" t="s">
        <v>2129</v>
      </c>
      <c r="Z359" s="1409" t="s">
        <v>2129</v>
      </c>
      <c r="AA359" s="1409" t="s">
        <v>2129</v>
      </c>
      <c r="AB359" s="1409" t="s">
        <v>2129</v>
      </c>
      <c r="AC359" s="1409" t="s">
        <v>2129</v>
      </c>
      <c r="AD359" s="1409" t="s">
        <v>2129</v>
      </c>
      <c r="AE359" s="1409" t="s">
        <v>2129</v>
      </c>
      <c r="AF359" s="1409" t="s">
        <v>2129</v>
      </c>
      <c r="AG359" s="1409" t="s">
        <v>2129</v>
      </c>
    </row>
    <row r="360" spans="1:33" ht="18.75" hidden="1" thickBot="1">
      <c r="A360" s="1530"/>
      <c r="B360" s="1532"/>
      <c r="C360" s="1530"/>
      <c r="D360" s="1409" t="s">
        <v>1401</v>
      </c>
      <c r="E360" s="1409" t="s">
        <v>2129</v>
      </c>
      <c r="F360" s="1409" t="s">
        <v>2129</v>
      </c>
      <c r="G360" s="1409" t="s">
        <v>2129</v>
      </c>
      <c r="H360" s="1409" t="s">
        <v>2129</v>
      </c>
      <c r="I360" s="1409" t="s">
        <v>2129</v>
      </c>
      <c r="J360" s="1409" t="s">
        <v>2129</v>
      </c>
      <c r="K360" s="1409" t="s">
        <v>2129</v>
      </c>
      <c r="L360" s="1409" t="s">
        <v>2166</v>
      </c>
      <c r="M360" s="1409">
        <v>796</v>
      </c>
      <c r="N360" s="1409">
        <v>24</v>
      </c>
      <c r="O360" s="1409">
        <v>24</v>
      </c>
      <c r="P360" s="1409"/>
      <c r="Q360" s="1409"/>
      <c r="R360" s="1409"/>
      <c r="S360" s="1409" t="s">
        <v>2129</v>
      </c>
      <c r="T360" s="1409" t="s">
        <v>2129</v>
      </c>
      <c r="U360" s="1409" t="s">
        <v>2129</v>
      </c>
      <c r="V360" s="1409" t="s">
        <v>2129</v>
      </c>
      <c r="W360" s="1409" t="s">
        <v>2129</v>
      </c>
      <c r="X360" s="1409" t="s">
        <v>2129</v>
      </c>
      <c r="Y360" s="1409" t="s">
        <v>2129</v>
      </c>
      <c r="Z360" s="1409" t="s">
        <v>2129</v>
      </c>
      <c r="AA360" s="1409" t="s">
        <v>2129</v>
      </c>
      <c r="AB360" s="1409" t="s">
        <v>2129</v>
      </c>
      <c r="AC360" s="1409" t="s">
        <v>2129</v>
      </c>
      <c r="AD360" s="1409" t="s">
        <v>2129</v>
      </c>
      <c r="AE360" s="1409" t="s">
        <v>2129</v>
      </c>
      <c r="AF360" s="1409" t="s">
        <v>2129</v>
      </c>
      <c r="AG360" s="1409" t="s">
        <v>2129</v>
      </c>
    </row>
    <row r="361" spans="1:33" ht="18.75" hidden="1" thickBot="1">
      <c r="A361" s="1530"/>
      <c r="B361" s="1532"/>
      <c r="C361" s="1530"/>
      <c r="D361" s="1409" t="s">
        <v>1402</v>
      </c>
      <c r="E361" s="1409" t="s">
        <v>2129</v>
      </c>
      <c r="F361" s="1409" t="s">
        <v>2129</v>
      </c>
      <c r="G361" s="1409" t="s">
        <v>2129</v>
      </c>
      <c r="H361" s="1409" t="s">
        <v>2129</v>
      </c>
      <c r="I361" s="1409" t="s">
        <v>2129</v>
      </c>
      <c r="J361" s="1409" t="s">
        <v>2129</v>
      </c>
      <c r="K361" s="1409" t="s">
        <v>2129</v>
      </c>
      <c r="L361" s="1409" t="s">
        <v>2433</v>
      </c>
      <c r="M361" s="1409">
        <v>715</v>
      </c>
      <c r="N361" s="1409">
        <v>23</v>
      </c>
      <c r="O361" s="1409">
        <v>23</v>
      </c>
      <c r="P361" s="1409"/>
      <c r="Q361" s="1409"/>
      <c r="R361" s="1409"/>
      <c r="S361" s="1409" t="s">
        <v>2129</v>
      </c>
      <c r="T361" s="1409" t="s">
        <v>2129</v>
      </c>
      <c r="U361" s="1409" t="s">
        <v>2129</v>
      </c>
      <c r="V361" s="1409" t="s">
        <v>2129</v>
      </c>
      <c r="W361" s="1409" t="s">
        <v>2129</v>
      </c>
      <c r="X361" s="1409" t="s">
        <v>2129</v>
      </c>
      <c r="Y361" s="1409" t="s">
        <v>2129</v>
      </c>
      <c r="Z361" s="1409" t="s">
        <v>2129</v>
      </c>
      <c r="AA361" s="1409" t="s">
        <v>2129</v>
      </c>
      <c r="AB361" s="1409" t="s">
        <v>2129</v>
      </c>
      <c r="AC361" s="1409" t="s">
        <v>2129</v>
      </c>
      <c r="AD361" s="1409" t="s">
        <v>2129</v>
      </c>
      <c r="AE361" s="1409" t="s">
        <v>2129</v>
      </c>
      <c r="AF361" s="1409" t="s">
        <v>2129</v>
      </c>
      <c r="AG361" s="1409" t="s">
        <v>2129</v>
      </c>
    </row>
    <row r="362" spans="1:33" ht="18.75" hidden="1" thickBot="1">
      <c r="A362" s="1530"/>
      <c r="B362" s="1532"/>
      <c r="C362" s="1530"/>
      <c r="D362" s="1409" t="s">
        <v>1403</v>
      </c>
      <c r="E362" s="1409" t="s">
        <v>2129</v>
      </c>
      <c r="F362" s="1409" t="s">
        <v>2129</v>
      </c>
      <c r="G362" s="1409" t="s">
        <v>2129</v>
      </c>
      <c r="H362" s="1409" t="s">
        <v>2129</v>
      </c>
      <c r="I362" s="1409" t="s">
        <v>2129</v>
      </c>
      <c r="J362" s="1409" t="s">
        <v>2129</v>
      </c>
      <c r="K362" s="1409" t="s">
        <v>2129</v>
      </c>
      <c r="L362" s="1409" t="s">
        <v>2433</v>
      </c>
      <c r="M362" s="1409">
        <v>715</v>
      </c>
      <c r="N362" s="1409">
        <v>30</v>
      </c>
      <c r="O362" s="1409">
        <v>30</v>
      </c>
      <c r="P362" s="1409"/>
      <c r="Q362" s="1409"/>
      <c r="R362" s="1409"/>
      <c r="S362" s="1409" t="s">
        <v>2129</v>
      </c>
      <c r="T362" s="1409" t="s">
        <v>2129</v>
      </c>
      <c r="U362" s="1409" t="s">
        <v>2129</v>
      </c>
      <c r="V362" s="1409" t="s">
        <v>2129</v>
      </c>
      <c r="W362" s="1409" t="s">
        <v>2129</v>
      </c>
      <c r="X362" s="1409" t="s">
        <v>2129</v>
      </c>
      <c r="Y362" s="1409" t="s">
        <v>2129</v>
      </c>
      <c r="Z362" s="1409" t="s">
        <v>2129</v>
      </c>
      <c r="AA362" s="1409" t="s">
        <v>2129</v>
      </c>
      <c r="AB362" s="1409" t="s">
        <v>2129</v>
      </c>
      <c r="AC362" s="1409" t="s">
        <v>2129</v>
      </c>
      <c r="AD362" s="1409" t="s">
        <v>2129</v>
      </c>
      <c r="AE362" s="1409" t="s">
        <v>2129</v>
      </c>
      <c r="AF362" s="1409" t="s">
        <v>2129</v>
      </c>
      <c r="AG362" s="1409" t="s">
        <v>2129</v>
      </c>
    </row>
    <row r="363" spans="1:33" ht="35.25" hidden="1" thickBot="1">
      <c r="A363" s="1530"/>
      <c r="B363" s="1532"/>
      <c r="C363" s="1530"/>
      <c r="D363" s="1409" t="s">
        <v>1404</v>
      </c>
      <c r="E363" s="1409" t="s">
        <v>2129</v>
      </c>
      <c r="F363" s="1409" t="s">
        <v>2129</v>
      </c>
      <c r="G363" s="1409" t="s">
        <v>2129</v>
      </c>
      <c r="H363" s="1409" t="s">
        <v>2129</v>
      </c>
      <c r="I363" s="1409" t="s">
        <v>2129</v>
      </c>
      <c r="J363" s="1409" t="s">
        <v>2129</v>
      </c>
      <c r="K363" s="1409" t="s">
        <v>2129</v>
      </c>
      <c r="L363" s="1409" t="s">
        <v>2166</v>
      </c>
      <c r="M363" s="1409">
        <v>796</v>
      </c>
      <c r="N363" s="1409">
        <v>30</v>
      </c>
      <c r="O363" s="1409">
        <v>30</v>
      </c>
      <c r="P363" s="1409"/>
      <c r="Q363" s="1409"/>
      <c r="R363" s="1409"/>
      <c r="S363" s="1409" t="s">
        <v>2129</v>
      </c>
      <c r="T363" s="1409" t="s">
        <v>2129</v>
      </c>
      <c r="U363" s="1409" t="s">
        <v>2129</v>
      </c>
      <c r="V363" s="1409" t="s">
        <v>2129</v>
      </c>
      <c r="W363" s="1409" t="s">
        <v>2129</v>
      </c>
      <c r="X363" s="1409" t="s">
        <v>2129</v>
      </c>
      <c r="Y363" s="1409" t="s">
        <v>2129</v>
      </c>
      <c r="Z363" s="1409" t="s">
        <v>2129</v>
      </c>
      <c r="AA363" s="1409" t="s">
        <v>2129</v>
      </c>
      <c r="AB363" s="1409" t="s">
        <v>2129</v>
      </c>
      <c r="AC363" s="1409" t="s">
        <v>2129</v>
      </c>
      <c r="AD363" s="1409" t="s">
        <v>2129</v>
      </c>
      <c r="AE363" s="1409" t="s">
        <v>2129</v>
      </c>
      <c r="AF363" s="1409" t="s">
        <v>2129</v>
      </c>
      <c r="AG363" s="1409" t="s">
        <v>2129</v>
      </c>
    </row>
    <row r="364" spans="1:33" ht="18.75" hidden="1" thickBot="1">
      <c r="A364" s="1530"/>
      <c r="B364" s="1532"/>
      <c r="C364" s="1530"/>
      <c r="D364" s="1409" t="s">
        <v>1405</v>
      </c>
      <c r="E364" s="1409" t="s">
        <v>2129</v>
      </c>
      <c r="F364" s="1409" t="s">
        <v>2129</v>
      </c>
      <c r="G364" s="1409" t="s">
        <v>2129</v>
      </c>
      <c r="H364" s="1409" t="s">
        <v>2129</v>
      </c>
      <c r="I364" s="1409" t="s">
        <v>2129</v>
      </c>
      <c r="J364" s="1409" t="s">
        <v>2129</v>
      </c>
      <c r="K364" s="1409" t="s">
        <v>2129</v>
      </c>
      <c r="L364" s="1409" t="s">
        <v>2166</v>
      </c>
      <c r="M364" s="1409">
        <v>796</v>
      </c>
      <c r="N364" s="1409">
        <v>11</v>
      </c>
      <c r="O364" s="1409">
        <v>11</v>
      </c>
      <c r="P364" s="1409"/>
      <c r="Q364" s="1409"/>
      <c r="R364" s="1409"/>
      <c r="S364" s="1409" t="s">
        <v>2129</v>
      </c>
      <c r="T364" s="1409" t="s">
        <v>2129</v>
      </c>
      <c r="U364" s="1409" t="s">
        <v>2129</v>
      </c>
      <c r="V364" s="1409" t="s">
        <v>2129</v>
      </c>
      <c r="W364" s="1409" t="s">
        <v>2129</v>
      </c>
      <c r="X364" s="1409" t="s">
        <v>2129</v>
      </c>
      <c r="Y364" s="1409" t="s">
        <v>2129</v>
      </c>
      <c r="Z364" s="1409" t="s">
        <v>2129</v>
      </c>
      <c r="AA364" s="1409" t="s">
        <v>2129</v>
      </c>
      <c r="AB364" s="1409" t="s">
        <v>2129</v>
      </c>
      <c r="AC364" s="1409" t="s">
        <v>2129</v>
      </c>
      <c r="AD364" s="1409" t="s">
        <v>2129</v>
      </c>
      <c r="AE364" s="1409" t="s">
        <v>2129</v>
      </c>
      <c r="AF364" s="1409" t="s">
        <v>2129</v>
      </c>
      <c r="AG364" s="1409" t="s">
        <v>2129</v>
      </c>
    </row>
    <row r="365" spans="1:33" ht="18.75" hidden="1" thickBot="1">
      <c r="A365" s="1530"/>
      <c r="B365" s="1532"/>
      <c r="C365" s="1530"/>
      <c r="D365" s="1409" t="s">
        <v>1406</v>
      </c>
      <c r="E365" s="1409" t="s">
        <v>2129</v>
      </c>
      <c r="F365" s="1409" t="s">
        <v>2129</v>
      </c>
      <c r="G365" s="1409" t="s">
        <v>2129</v>
      </c>
      <c r="H365" s="1409" t="s">
        <v>2129</v>
      </c>
      <c r="I365" s="1409" t="s">
        <v>2129</v>
      </c>
      <c r="J365" s="1409" t="s">
        <v>2129</v>
      </c>
      <c r="K365" s="1409" t="s">
        <v>2129</v>
      </c>
      <c r="L365" s="1409" t="s">
        <v>2166</v>
      </c>
      <c r="M365" s="1409">
        <v>796</v>
      </c>
      <c r="N365" s="1409">
        <v>30</v>
      </c>
      <c r="O365" s="1409">
        <v>30</v>
      </c>
      <c r="P365" s="1409"/>
      <c r="Q365" s="1409"/>
      <c r="R365" s="1409"/>
      <c r="S365" s="1409" t="s">
        <v>2129</v>
      </c>
      <c r="T365" s="1409" t="s">
        <v>2129</v>
      </c>
      <c r="U365" s="1409" t="s">
        <v>2129</v>
      </c>
      <c r="V365" s="1409" t="s">
        <v>2129</v>
      </c>
      <c r="W365" s="1409" t="s">
        <v>2129</v>
      </c>
      <c r="X365" s="1409" t="s">
        <v>2129</v>
      </c>
      <c r="Y365" s="1409" t="s">
        <v>2129</v>
      </c>
      <c r="Z365" s="1409" t="s">
        <v>2129</v>
      </c>
      <c r="AA365" s="1409" t="s">
        <v>2129</v>
      </c>
      <c r="AB365" s="1409" t="s">
        <v>2129</v>
      </c>
      <c r="AC365" s="1409" t="s">
        <v>2129</v>
      </c>
      <c r="AD365" s="1409" t="s">
        <v>2129</v>
      </c>
      <c r="AE365" s="1409" t="s">
        <v>2129</v>
      </c>
      <c r="AF365" s="1409" t="s">
        <v>2129</v>
      </c>
      <c r="AG365" s="1409" t="s">
        <v>2129</v>
      </c>
    </row>
    <row r="366" spans="1:33" ht="18.75" hidden="1" thickBot="1">
      <c r="A366" s="1530"/>
      <c r="B366" s="1532"/>
      <c r="C366" s="1530"/>
      <c r="D366" s="1409" t="s">
        <v>1407</v>
      </c>
      <c r="E366" s="1409" t="s">
        <v>2129</v>
      </c>
      <c r="F366" s="1409" t="s">
        <v>2129</v>
      </c>
      <c r="G366" s="1409" t="s">
        <v>2129</v>
      </c>
      <c r="H366" s="1409" t="s">
        <v>2129</v>
      </c>
      <c r="I366" s="1409" t="s">
        <v>2129</v>
      </c>
      <c r="J366" s="1409" t="s">
        <v>2129</v>
      </c>
      <c r="K366" s="1409" t="s">
        <v>2129</v>
      </c>
      <c r="L366" s="1409" t="s">
        <v>2166</v>
      </c>
      <c r="M366" s="1409">
        <v>796</v>
      </c>
      <c r="N366" s="1409">
        <v>30</v>
      </c>
      <c r="O366" s="1409">
        <v>30</v>
      </c>
      <c r="P366" s="1409"/>
      <c r="Q366" s="1409"/>
      <c r="R366" s="1409"/>
      <c r="S366" s="1409" t="s">
        <v>2129</v>
      </c>
      <c r="T366" s="1409" t="s">
        <v>2129</v>
      </c>
      <c r="U366" s="1409" t="s">
        <v>2129</v>
      </c>
      <c r="V366" s="1409" t="s">
        <v>2129</v>
      </c>
      <c r="W366" s="1409" t="s">
        <v>2129</v>
      </c>
      <c r="X366" s="1409" t="s">
        <v>2129</v>
      </c>
      <c r="Y366" s="1409" t="s">
        <v>2129</v>
      </c>
      <c r="Z366" s="1409" t="s">
        <v>2129</v>
      </c>
      <c r="AA366" s="1409" t="s">
        <v>2129</v>
      </c>
      <c r="AB366" s="1409" t="s">
        <v>2129</v>
      </c>
      <c r="AC366" s="1409" t="s">
        <v>2129</v>
      </c>
      <c r="AD366" s="1409" t="s">
        <v>2129</v>
      </c>
      <c r="AE366" s="1409" t="s">
        <v>2129</v>
      </c>
      <c r="AF366" s="1409" t="s">
        <v>2129</v>
      </c>
      <c r="AG366" s="1409" t="s">
        <v>2129</v>
      </c>
    </row>
    <row r="367" spans="1:33" ht="18.75" hidden="1" thickBot="1">
      <c r="A367" s="1530"/>
      <c r="B367" s="1532"/>
      <c r="C367" s="1530"/>
      <c r="D367" s="1409" t="s">
        <v>1408</v>
      </c>
      <c r="E367" s="1409" t="s">
        <v>2129</v>
      </c>
      <c r="F367" s="1409" t="s">
        <v>2129</v>
      </c>
      <c r="G367" s="1409" t="s">
        <v>2129</v>
      </c>
      <c r="H367" s="1409" t="s">
        <v>2129</v>
      </c>
      <c r="I367" s="1409" t="s">
        <v>2129</v>
      </c>
      <c r="J367" s="1409" t="s">
        <v>2129</v>
      </c>
      <c r="K367" s="1409" t="s">
        <v>2129</v>
      </c>
      <c r="L367" s="1409" t="s">
        <v>2433</v>
      </c>
      <c r="M367" s="1409">
        <v>715</v>
      </c>
      <c r="N367" s="1409">
        <v>4</v>
      </c>
      <c r="O367" s="1409">
        <v>4</v>
      </c>
      <c r="P367" s="1409"/>
      <c r="Q367" s="1409"/>
      <c r="R367" s="1409"/>
      <c r="S367" s="1409" t="s">
        <v>2129</v>
      </c>
      <c r="T367" s="1409" t="s">
        <v>2129</v>
      </c>
      <c r="U367" s="1409" t="s">
        <v>2129</v>
      </c>
      <c r="V367" s="1409" t="s">
        <v>2129</v>
      </c>
      <c r="W367" s="1409" t="s">
        <v>2129</v>
      </c>
      <c r="X367" s="1409" t="s">
        <v>2129</v>
      </c>
      <c r="Y367" s="1409" t="s">
        <v>2129</v>
      </c>
      <c r="Z367" s="1409" t="s">
        <v>2129</v>
      </c>
      <c r="AA367" s="1409" t="s">
        <v>2129</v>
      </c>
      <c r="AB367" s="1409" t="s">
        <v>2129</v>
      </c>
      <c r="AC367" s="1409" t="s">
        <v>2129</v>
      </c>
      <c r="AD367" s="1409" t="s">
        <v>2129</v>
      </c>
      <c r="AE367" s="1409" t="s">
        <v>2129</v>
      </c>
      <c r="AF367" s="1409" t="s">
        <v>2129</v>
      </c>
      <c r="AG367" s="1409" t="s">
        <v>2129</v>
      </c>
    </row>
    <row r="368" spans="1:33" ht="18.75" hidden="1" thickBot="1">
      <c r="A368" s="1530"/>
      <c r="B368" s="1532"/>
      <c r="C368" s="1530"/>
      <c r="D368" s="1409" t="s">
        <v>1409</v>
      </c>
      <c r="E368" s="1409" t="s">
        <v>2129</v>
      </c>
      <c r="F368" s="1409" t="s">
        <v>2129</v>
      </c>
      <c r="G368" s="1409" t="s">
        <v>2129</v>
      </c>
      <c r="H368" s="1409" t="s">
        <v>2129</v>
      </c>
      <c r="I368" s="1409" t="s">
        <v>2129</v>
      </c>
      <c r="J368" s="1409" t="s">
        <v>2129</v>
      </c>
      <c r="K368" s="1409" t="s">
        <v>2129</v>
      </c>
      <c r="L368" s="1409" t="s">
        <v>2433</v>
      </c>
      <c r="M368" s="1409">
        <v>715</v>
      </c>
      <c r="N368" s="1409">
        <v>15</v>
      </c>
      <c r="O368" s="1409">
        <v>15</v>
      </c>
      <c r="P368" s="1409"/>
      <c r="Q368" s="1409"/>
      <c r="R368" s="1409"/>
      <c r="S368" s="1409" t="s">
        <v>2129</v>
      </c>
      <c r="T368" s="1409" t="s">
        <v>2129</v>
      </c>
      <c r="U368" s="1409" t="s">
        <v>2129</v>
      </c>
      <c r="V368" s="1409" t="s">
        <v>2129</v>
      </c>
      <c r="W368" s="1409" t="s">
        <v>2129</v>
      </c>
      <c r="X368" s="1409" t="s">
        <v>2129</v>
      </c>
      <c r="Y368" s="1409" t="s">
        <v>2129</v>
      </c>
      <c r="Z368" s="1409" t="s">
        <v>2129</v>
      </c>
      <c r="AA368" s="1409" t="s">
        <v>2129</v>
      </c>
      <c r="AB368" s="1409" t="s">
        <v>2129</v>
      </c>
      <c r="AC368" s="1409" t="s">
        <v>2129</v>
      </c>
      <c r="AD368" s="1409" t="s">
        <v>2129</v>
      </c>
      <c r="AE368" s="1409" t="s">
        <v>2129</v>
      </c>
      <c r="AF368" s="1409" t="s">
        <v>2129</v>
      </c>
      <c r="AG368" s="1409" t="s">
        <v>2129</v>
      </c>
    </row>
    <row r="369" spans="1:33" ht="60" hidden="1" thickBot="1">
      <c r="A369" s="1529"/>
      <c r="B369" s="1533"/>
      <c r="C369" s="1529"/>
      <c r="D369" s="1409" t="s">
        <v>2462</v>
      </c>
      <c r="E369" s="1409" t="s">
        <v>2129</v>
      </c>
      <c r="F369" s="1409" t="s">
        <v>2129</v>
      </c>
      <c r="G369" s="1409" t="s">
        <v>2129</v>
      </c>
      <c r="H369" s="1409" t="s">
        <v>2129</v>
      </c>
      <c r="I369" s="1409" t="s">
        <v>2129</v>
      </c>
      <c r="J369" s="1409" t="s">
        <v>2129</v>
      </c>
      <c r="K369" s="1409" t="s">
        <v>2129</v>
      </c>
      <c r="L369" s="1409" t="s">
        <v>2166</v>
      </c>
      <c r="M369" s="1409">
        <v>796</v>
      </c>
      <c r="N369" s="1409">
        <v>2</v>
      </c>
      <c r="O369" s="1409">
        <v>0</v>
      </c>
      <c r="P369" s="1409">
        <v>1</v>
      </c>
      <c r="Q369" s="1409">
        <v>1</v>
      </c>
      <c r="R369" s="1409"/>
      <c r="S369" s="1409" t="s">
        <v>2129</v>
      </c>
      <c r="T369" s="1409" t="s">
        <v>2129</v>
      </c>
      <c r="U369" s="1409" t="s">
        <v>2129</v>
      </c>
      <c r="V369" s="1409" t="s">
        <v>2129</v>
      </c>
      <c r="W369" s="1409" t="s">
        <v>2129</v>
      </c>
      <c r="X369" s="1409" t="s">
        <v>2129</v>
      </c>
      <c r="Y369" s="1409" t="s">
        <v>2129</v>
      </c>
      <c r="Z369" s="1409" t="s">
        <v>2129</v>
      </c>
      <c r="AA369" s="1409" t="s">
        <v>2129</v>
      </c>
      <c r="AB369" s="1409" t="s">
        <v>2129</v>
      </c>
      <c r="AC369" s="1409" t="s">
        <v>2129</v>
      </c>
      <c r="AD369" s="1409" t="s">
        <v>2129</v>
      </c>
      <c r="AE369" s="1409" t="s">
        <v>2129</v>
      </c>
      <c r="AF369" s="1409" t="s">
        <v>2129</v>
      </c>
      <c r="AG369" s="1409" t="s">
        <v>2129</v>
      </c>
    </row>
    <row r="370" spans="1:33" ht="25.5" hidden="1" customHeight="1">
      <c r="A370" s="1528">
        <v>55</v>
      </c>
      <c r="B370" s="1531">
        <v>1.7224300000000002E+35</v>
      </c>
      <c r="C370" s="1528" t="s">
        <v>1410</v>
      </c>
      <c r="D370" s="1528" t="s">
        <v>1411</v>
      </c>
      <c r="E370" s="1528" t="s">
        <v>1412</v>
      </c>
      <c r="F370" s="1528"/>
      <c r="G370" s="1528">
        <v>4156</v>
      </c>
      <c r="H370" s="1528">
        <v>4156</v>
      </c>
      <c r="I370" s="1528">
        <v>0</v>
      </c>
      <c r="J370" s="1528">
        <v>0</v>
      </c>
      <c r="K370" s="1528">
        <v>0</v>
      </c>
      <c r="L370" s="1528" t="s">
        <v>2129</v>
      </c>
      <c r="M370" s="1528" t="s">
        <v>2129</v>
      </c>
      <c r="N370" s="1528" t="s">
        <v>2129</v>
      </c>
      <c r="O370" s="1528" t="s">
        <v>2129</v>
      </c>
      <c r="P370" s="1528" t="s">
        <v>2129</v>
      </c>
      <c r="Q370" s="1528" t="s">
        <v>2129</v>
      </c>
      <c r="R370" s="1528" t="s">
        <v>2129</v>
      </c>
      <c r="S370" s="1410" t="s">
        <v>2163</v>
      </c>
      <c r="T370" s="1528"/>
      <c r="U370" s="1528"/>
      <c r="V370" s="1528">
        <v>6.2016999999999998</v>
      </c>
      <c r="W370" s="1528">
        <v>7.2016999999999998</v>
      </c>
      <c r="X370" s="1528" t="s">
        <v>2131</v>
      </c>
      <c r="Y370" s="1528" t="s">
        <v>2132</v>
      </c>
      <c r="Z370" s="1528" t="s">
        <v>2132</v>
      </c>
      <c r="AA370" s="1528"/>
      <c r="AB370" s="1528"/>
      <c r="AC370" s="1528"/>
      <c r="AD370" s="1528"/>
      <c r="AE370" s="1528"/>
      <c r="AF370" s="1528"/>
      <c r="AG370" s="1528"/>
    </row>
    <row r="371" spans="1:33" ht="76.5" hidden="1" thickBot="1">
      <c r="A371" s="1530"/>
      <c r="B371" s="1532"/>
      <c r="C371" s="1530"/>
      <c r="D371" s="1529"/>
      <c r="E371" s="1529"/>
      <c r="F371" s="1529"/>
      <c r="G371" s="1529"/>
      <c r="H371" s="1529"/>
      <c r="I371" s="1529"/>
      <c r="J371" s="1529"/>
      <c r="K371" s="1529"/>
      <c r="L371" s="1529"/>
      <c r="M371" s="1529"/>
      <c r="N371" s="1529"/>
      <c r="O371" s="1529"/>
      <c r="P371" s="1529"/>
      <c r="Q371" s="1529"/>
      <c r="R371" s="1529"/>
      <c r="S371" s="1409" t="s">
        <v>1413</v>
      </c>
      <c r="T371" s="1529"/>
      <c r="U371" s="1529"/>
      <c r="V371" s="1529"/>
      <c r="W371" s="1529"/>
      <c r="X371" s="1529"/>
      <c r="Y371" s="1529"/>
      <c r="Z371" s="1529"/>
      <c r="AA371" s="1529"/>
      <c r="AB371" s="1529"/>
      <c r="AC371" s="1529"/>
      <c r="AD371" s="1529"/>
      <c r="AE371" s="1529"/>
      <c r="AF371" s="1529"/>
      <c r="AG371" s="1529"/>
    </row>
    <row r="372" spans="1:33" ht="18.75" hidden="1" thickBot="1">
      <c r="A372" s="1530"/>
      <c r="B372" s="1532"/>
      <c r="C372" s="1530"/>
      <c r="D372" s="1410" t="s">
        <v>1414</v>
      </c>
      <c r="E372" s="1528" t="s">
        <v>2129</v>
      </c>
      <c r="F372" s="1528" t="s">
        <v>2129</v>
      </c>
      <c r="G372" s="1528" t="s">
        <v>2129</v>
      </c>
      <c r="H372" s="1528" t="s">
        <v>2129</v>
      </c>
      <c r="I372" s="1528" t="s">
        <v>2129</v>
      </c>
      <c r="J372" s="1528" t="s">
        <v>2129</v>
      </c>
      <c r="K372" s="1528" t="s">
        <v>2129</v>
      </c>
      <c r="L372" s="1528" t="s">
        <v>2166</v>
      </c>
      <c r="M372" s="1528">
        <v>796</v>
      </c>
      <c r="N372" s="1528">
        <v>10</v>
      </c>
      <c r="O372" s="1528">
        <v>10</v>
      </c>
      <c r="P372" s="1528"/>
      <c r="Q372" s="1528"/>
      <c r="R372" s="1528"/>
      <c r="S372" s="1528" t="s">
        <v>2129</v>
      </c>
      <c r="T372" s="1528" t="s">
        <v>2129</v>
      </c>
      <c r="U372" s="1528" t="s">
        <v>2129</v>
      </c>
      <c r="V372" s="1528" t="s">
        <v>2129</v>
      </c>
      <c r="W372" s="1528" t="s">
        <v>2129</v>
      </c>
      <c r="X372" s="1528" t="s">
        <v>2129</v>
      </c>
      <c r="Y372" s="1528" t="s">
        <v>2129</v>
      </c>
      <c r="Z372" s="1528" t="s">
        <v>2129</v>
      </c>
      <c r="AA372" s="1528" t="s">
        <v>2129</v>
      </c>
      <c r="AB372" s="1528" t="s">
        <v>2129</v>
      </c>
      <c r="AC372" s="1528" t="s">
        <v>2129</v>
      </c>
      <c r="AD372" s="1528" t="s">
        <v>2129</v>
      </c>
      <c r="AE372" s="1528" t="s">
        <v>2129</v>
      </c>
      <c r="AF372" s="1528" t="s">
        <v>2129</v>
      </c>
      <c r="AG372" s="1528" t="s">
        <v>2129</v>
      </c>
    </row>
    <row r="373" spans="1:33" ht="101.25" hidden="1" thickBot="1">
      <c r="A373" s="1530"/>
      <c r="B373" s="1532"/>
      <c r="C373" s="1530"/>
      <c r="D373" s="1409" t="s">
        <v>1415</v>
      </c>
      <c r="E373" s="1529"/>
      <c r="F373" s="1529"/>
      <c r="G373" s="1529"/>
      <c r="H373" s="1529"/>
      <c r="I373" s="1529"/>
      <c r="J373" s="1529"/>
      <c r="K373" s="1529"/>
      <c r="L373" s="1529"/>
      <c r="M373" s="1529"/>
      <c r="N373" s="1529"/>
      <c r="O373" s="1529"/>
      <c r="P373" s="1529"/>
      <c r="Q373" s="1529"/>
      <c r="R373" s="1529"/>
      <c r="S373" s="1529"/>
      <c r="T373" s="1529"/>
      <c r="U373" s="1529"/>
      <c r="V373" s="1529"/>
      <c r="W373" s="1529"/>
      <c r="X373" s="1529"/>
      <c r="Y373" s="1529"/>
      <c r="Z373" s="1529"/>
      <c r="AA373" s="1529"/>
      <c r="AB373" s="1529"/>
      <c r="AC373" s="1529"/>
      <c r="AD373" s="1529"/>
      <c r="AE373" s="1529"/>
      <c r="AF373" s="1529"/>
      <c r="AG373" s="1529"/>
    </row>
    <row r="374" spans="1:33" ht="18.75" hidden="1" thickBot="1">
      <c r="A374" s="1530"/>
      <c r="B374" s="1532"/>
      <c r="C374" s="1530"/>
      <c r="D374" s="1410" t="s">
        <v>1416</v>
      </c>
      <c r="E374" s="1528" t="s">
        <v>2129</v>
      </c>
      <c r="F374" s="1528" t="s">
        <v>2129</v>
      </c>
      <c r="G374" s="1528" t="s">
        <v>2129</v>
      </c>
      <c r="H374" s="1528" t="s">
        <v>2129</v>
      </c>
      <c r="I374" s="1528" t="s">
        <v>2129</v>
      </c>
      <c r="J374" s="1528" t="s">
        <v>2129</v>
      </c>
      <c r="K374" s="1528" t="s">
        <v>2129</v>
      </c>
      <c r="L374" s="1528" t="s">
        <v>2166</v>
      </c>
      <c r="M374" s="1528">
        <v>796</v>
      </c>
      <c r="N374" s="1528">
        <v>1</v>
      </c>
      <c r="O374" s="1528">
        <v>1</v>
      </c>
      <c r="P374" s="1528"/>
      <c r="Q374" s="1528"/>
      <c r="R374" s="1528"/>
      <c r="S374" s="1528" t="s">
        <v>2129</v>
      </c>
      <c r="T374" s="1528" t="s">
        <v>2129</v>
      </c>
      <c r="U374" s="1528" t="s">
        <v>2129</v>
      </c>
      <c r="V374" s="1528" t="s">
        <v>2129</v>
      </c>
      <c r="W374" s="1528" t="s">
        <v>2129</v>
      </c>
      <c r="X374" s="1528" t="s">
        <v>2129</v>
      </c>
      <c r="Y374" s="1528" t="s">
        <v>2129</v>
      </c>
      <c r="Z374" s="1528" t="s">
        <v>2129</v>
      </c>
      <c r="AA374" s="1528" t="s">
        <v>2129</v>
      </c>
      <c r="AB374" s="1528" t="s">
        <v>2129</v>
      </c>
      <c r="AC374" s="1528" t="s">
        <v>2129</v>
      </c>
      <c r="AD374" s="1528" t="s">
        <v>2129</v>
      </c>
      <c r="AE374" s="1528" t="s">
        <v>2129</v>
      </c>
      <c r="AF374" s="1528" t="s">
        <v>2129</v>
      </c>
      <c r="AG374" s="1528" t="s">
        <v>2129</v>
      </c>
    </row>
    <row r="375" spans="1:33" ht="76.5" hidden="1" thickBot="1">
      <c r="A375" s="1530"/>
      <c r="B375" s="1532"/>
      <c r="C375" s="1530"/>
      <c r="D375" s="1409" t="s">
        <v>1417</v>
      </c>
      <c r="E375" s="1529"/>
      <c r="F375" s="1529"/>
      <c r="G375" s="1529"/>
      <c r="H375" s="1529"/>
      <c r="I375" s="1529"/>
      <c r="J375" s="1529"/>
      <c r="K375" s="1529"/>
      <c r="L375" s="1529"/>
      <c r="M375" s="1529"/>
      <c r="N375" s="1529"/>
      <c r="O375" s="1529"/>
      <c r="P375" s="1529"/>
      <c r="Q375" s="1529"/>
      <c r="R375" s="1529"/>
      <c r="S375" s="1529"/>
      <c r="T375" s="1529"/>
      <c r="U375" s="1529"/>
      <c r="V375" s="1529"/>
      <c r="W375" s="1529"/>
      <c r="X375" s="1529"/>
      <c r="Y375" s="1529"/>
      <c r="Z375" s="1529"/>
      <c r="AA375" s="1529"/>
      <c r="AB375" s="1529"/>
      <c r="AC375" s="1529"/>
      <c r="AD375" s="1529"/>
      <c r="AE375" s="1529"/>
      <c r="AF375" s="1529"/>
      <c r="AG375" s="1529"/>
    </row>
    <row r="376" spans="1:33" ht="18.75" hidden="1" thickBot="1">
      <c r="A376" s="1530"/>
      <c r="B376" s="1532"/>
      <c r="C376" s="1530"/>
      <c r="D376" s="1410" t="s">
        <v>1418</v>
      </c>
      <c r="E376" s="1528" t="s">
        <v>2129</v>
      </c>
      <c r="F376" s="1528" t="s">
        <v>2129</v>
      </c>
      <c r="G376" s="1528" t="s">
        <v>2129</v>
      </c>
      <c r="H376" s="1528" t="s">
        <v>2129</v>
      </c>
      <c r="I376" s="1528" t="s">
        <v>2129</v>
      </c>
      <c r="J376" s="1528" t="s">
        <v>2129</v>
      </c>
      <c r="K376" s="1528" t="s">
        <v>2129</v>
      </c>
      <c r="L376" s="1528" t="s">
        <v>1419</v>
      </c>
      <c r="M376" s="1528">
        <v>704</v>
      </c>
      <c r="N376" s="1528">
        <v>10</v>
      </c>
      <c r="O376" s="1528">
        <v>10</v>
      </c>
      <c r="P376" s="1528"/>
      <c r="Q376" s="1528"/>
      <c r="R376" s="1528"/>
      <c r="S376" s="1528" t="s">
        <v>2129</v>
      </c>
      <c r="T376" s="1528" t="s">
        <v>2129</v>
      </c>
      <c r="U376" s="1528" t="s">
        <v>2129</v>
      </c>
      <c r="V376" s="1528" t="s">
        <v>2129</v>
      </c>
      <c r="W376" s="1528" t="s">
        <v>2129</v>
      </c>
      <c r="X376" s="1528" t="s">
        <v>2129</v>
      </c>
      <c r="Y376" s="1528" t="s">
        <v>2129</v>
      </c>
      <c r="Z376" s="1528" t="s">
        <v>2129</v>
      </c>
      <c r="AA376" s="1528" t="s">
        <v>2129</v>
      </c>
      <c r="AB376" s="1528" t="s">
        <v>2129</v>
      </c>
      <c r="AC376" s="1528" t="s">
        <v>2129</v>
      </c>
      <c r="AD376" s="1528" t="s">
        <v>2129</v>
      </c>
      <c r="AE376" s="1528" t="s">
        <v>2129</v>
      </c>
      <c r="AF376" s="1528" t="s">
        <v>2129</v>
      </c>
      <c r="AG376" s="1528" t="s">
        <v>2129</v>
      </c>
    </row>
    <row r="377" spans="1:33" ht="60" hidden="1" thickBot="1">
      <c r="A377" s="1530"/>
      <c r="B377" s="1532"/>
      <c r="C377" s="1530"/>
      <c r="D377" s="1409" t="s">
        <v>1420</v>
      </c>
      <c r="E377" s="1529"/>
      <c r="F377" s="1529"/>
      <c r="G377" s="1529"/>
      <c r="H377" s="1529"/>
      <c r="I377" s="1529"/>
      <c r="J377" s="1529"/>
      <c r="K377" s="1529"/>
      <c r="L377" s="1529"/>
      <c r="M377" s="1529"/>
      <c r="N377" s="1529"/>
      <c r="O377" s="1529"/>
      <c r="P377" s="1529"/>
      <c r="Q377" s="1529"/>
      <c r="R377" s="1529"/>
      <c r="S377" s="1529"/>
      <c r="T377" s="1529"/>
      <c r="U377" s="1529"/>
      <c r="V377" s="1529"/>
      <c r="W377" s="1529"/>
      <c r="X377" s="1529"/>
      <c r="Y377" s="1529"/>
      <c r="Z377" s="1529"/>
      <c r="AA377" s="1529"/>
      <c r="AB377" s="1529"/>
      <c r="AC377" s="1529"/>
      <c r="AD377" s="1529"/>
      <c r="AE377" s="1529"/>
      <c r="AF377" s="1529"/>
      <c r="AG377" s="1529"/>
    </row>
    <row r="378" spans="1:33" ht="18.75" hidden="1" thickBot="1">
      <c r="A378" s="1530"/>
      <c r="B378" s="1532"/>
      <c r="C378" s="1530"/>
      <c r="D378" s="1410" t="s">
        <v>1421</v>
      </c>
      <c r="E378" s="1528" t="s">
        <v>2129</v>
      </c>
      <c r="F378" s="1528" t="s">
        <v>2129</v>
      </c>
      <c r="G378" s="1528" t="s">
        <v>2129</v>
      </c>
      <c r="H378" s="1528" t="s">
        <v>2129</v>
      </c>
      <c r="I378" s="1528" t="s">
        <v>2129</v>
      </c>
      <c r="J378" s="1528" t="s">
        <v>2129</v>
      </c>
      <c r="K378" s="1528" t="s">
        <v>2129</v>
      </c>
      <c r="L378" s="1528" t="s">
        <v>1419</v>
      </c>
      <c r="M378" s="1528">
        <v>704</v>
      </c>
      <c r="N378" s="1528">
        <v>4</v>
      </c>
      <c r="O378" s="1528">
        <v>4</v>
      </c>
      <c r="P378" s="1528"/>
      <c r="Q378" s="1528"/>
      <c r="R378" s="1528"/>
      <c r="S378" s="1528" t="s">
        <v>2129</v>
      </c>
      <c r="T378" s="1528" t="s">
        <v>2129</v>
      </c>
      <c r="U378" s="1528" t="s">
        <v>2129</v>
      </c>
      <c r="V378" s="1528" t="s">
        <v>2129</v>
      </c>
      <c r="W378" s="1528" t="s">
        <v>2129</v>
      </c>
      <c r="X378" s="1528" t="s">
        <v>2129</v>
      </c>
      <c r="Y378" s="1528" t="s">
        <v>2129</v>
      </c>
      <c r="Z378" s="1528" t="s">
        <v>2129</v>
      </c>
      <c r="AA378" s="1528" t="s">
        <v>2129</v>
      </c>
      <c r="AB378" s="1528" t="s">
        <v>2129</v>
      </c>
      <c r="AC378" s="1528" t="s">
        <v>2129</v>
      </c>
      <c r="AD378" s="1528" t="s">
        <v>2129</v>
      </c>
      <c r="AE378" s="1528" t="s">
        <v>2129</v>
      </c>
      <c r="AF378" s="1528" t="s">
        <v>2129</v>
      </c>
      <c r="AG378" s="1528" t="s">
        <v>2129</v>
      </c>
    </row>
    <row r="379" spans="1:33" ht="60" hidden="1" thickBot="1">
      <c r="A379" s="1530"/>
      <c r="B379" s="1532"/>
      <c r="C379" s="1530"/>
      <c r="D379" s="1409" t="s">
        <v>1422</v>
      </c>
      <c r="E379" s="1529"/>
      <c r="F379" s="1529"/>
      <c r="G379" s="1529"/>
      <c r="H379" s="1529"/>
      <c r="I379" s="1529"/>
      <c r="J379" s="1529"/>
      <c r="K379" s="1529"/>
      <c r="L379" s="1529"/>
      <c r="M379" s="1529"/>
      <c r="N379" s="1529"/>
      <c r="O379" s="1529"/>
      <c r="P379" s="1529"/>
      <c r="Q379" s="1529"/>
      <c r="R379" s="1529"/>
      <c r="S379" s="1529"/>
      <c r="T379" s="1529"/>
      <c r="U379" s="1529"/>
      <c r="V379" s="1529"/>
      <c r="W379" s="1529"/>
      <c r="X379" s="1529"/>
      <c r="Y379" s="1529"/>
      <c r="Z379" s="1529"/>
      <c r="AA379" s="1529"/>
      <c r="AB379" s="1529"/>
      <c r="AC379" s="1529"/>
      <c r="AD379" s="1529"/>
      <c r="AE379" s="1529"/>
      <c r="AF379" s="1529"/>
      <c r="AG379" s="1529"/>
    </row>
    <row r="380" spans="1:33" ht="18.75" hidden="1" thickBot="1">
      <c r="A380" s="1530"/>
      <c r="B380" s="1532"/>
      <c r="C380" s="1530"/>
      <c r="D380" s="1410" t="s">
        <v>1954</v>
      </c>
      <c r="E380" s="1528" t="s">
        <v>2129</v>
      </c>
      <c r="F380" s="1528" t="s">
        <v>2129</v>
      </c>
      <c r="G380" s="1528" t="s">
        <v>2129</v>
      </c>
      <c r="H380" s="1528" t="s">
        <v>2129</v>
      </c>
      <c r="I380" s="1528" t="s">
        <v>2129</v>
      </c>
      <c r="J380" s="1528" t="s">
        <v>2129</v>
      </c>
      <c r="K380" s="1528" t="s">
        <v>2129</v>
      </c>
      <c r="L380" s="1528" t="s">
        <v>2166</v>
      </c>
      <c r="M380" s="1528">
        <v>796</v>
      </c>
      <c r="N380" s="1528">
        <v>30</v>
      </c>
      <c r="O380" s="1528">
        <v>30</v>
      </c>
      <c r="P380" s="1528"/>
      <c r="Q380" s="1528"/>
      <c r="R380" s="1528"/>
      <c r="S380" s="1528" t="s">
        <v>2129</v>
      </c>
      <c r="T380" s="1528" t="s">
        <v>2129</v>
      </c>
      <c r="U380" s="1528" t="s">
        <v>2129</v>
      </c>
      <c r="V380" s="1528" t="s">
        <v>2129</v>
      </c>
      <c r="W380" s="1528" t="s">
        <v>2129</v>
      </c>
      <c r="X380" s="1528" t="s">
        <v>2129</v>
      </c>
      <c r="Y380" s="1528" t="s">
        <v>2129</v>
      </c>
      <c r="Z380" s="1528" t="s">
        <v>2129</v>
      </c>
      <c r="AA380" s="1528" t="s">
        <v>2129</v>
      </c>
      <c r="AB380" s="1528" t="s">
        <v>2129</v>
      </c>
      <c r="AC380" s="1528" t="s">
        <v>2129</v>
      </c>
      <c r="AD380" s="1528" t="s">
        <v>2129</v>
      </c>
      <c r="AE380" s="1528" t="s">
        <v>2129</v>
      </c>
      <c r="AF380" s="1528" t="s">
        <v>2129</v>
      </c>
      <c r="AG380" s="1528" t="s">
        <v>2129</v>
      </c>
    </row>
    <row r="381" spans="1:33" ht="60" hidden="1" thickBot="1">
      <c r="A381" s="1530"/>
      <c r="B381" s="1532"/>
      <c r="C381" s="1530"/>
      <c r="D381" s="1409" t="s">
        <v>1423</v>
      </c>
      <c r="E381" s="1529"/>
      <c r="F381" s="1529"/>
      <c r="G381" s="1529"/>
      <c r="H381" s="1529"/>
      <c r="I381" s="1529"/>
      <c r="J381" s="1529"/>
      <c r="K381" s="1529"/>
      <c r="L381" s="1529"/>
      <c r="M381" s="1529"/>
      <c r="N381" s="1529"/>
      <c r="O381" s="1529"/>
      <c r="P381" s="1529"/>
      <c r="Q381" s="1529"/>
      <c r="R381" s="1529"/>
      <c r="S381" s="1529"/>
      <c r="T381" s="1529"/>
      <c r="U381" s="1529"/>
      <c r="V381" s="1529"/>
      <c r="W381" s="1529"/>
      <c r="X381" s="1529"/>
      <c r="Y381" s="1529"/>
      <c r="Z381" s="1529"/>
      <c r="AA381" s="1529"/>
      <c r="AB381" s="1529"/>
      <c r="AC381" s="1529"/>
      <c r="AD381" s="1529"/>
      <c r="AE381" s="1529"/>
      <c r="AF381" s="1529"/>
      <c r="AG381" s="1529"/>
    </row>
    <row r="382" spans="1:33" ht="15.75" hidden="1" thickBot="1">
      <c r="A382" s="1530"/>
      <c r="B382" s="1532"/>
      <c r="C382" s="1530"/>
      <c r="D382" s="1410" t="s">
        <v>1955</v>
      </c>
      <c r="E382" s="1528" t="s">
        <v>2129</v>
      </c>
      <c r="F382" s="1528" t="s">
        <v>2129</v>
      </c>
      <c r="G382" s="1528" t="s">
        <v>2129</v>
      </c>
      <c r="H382" s="1528" t="s">
        <v>2129</v>
      </c>
      <c r="I382" s="1528" t="s">
        <v>2129</v>
      </c>
      <c r="J382" s="1528" t="s">
        <v>2129</v>
      </c>
      <c r="K382" s="1528" t="s">
        <v>2129</v>
      </c>
      <c r="L382" s="1528" t="s">
        <v>1424</v>
      </c>
      <c r="M382" s="1528">
        <v>889</v>
      </c>
      <c r="N382" s="1528">
        <v>12</v>
      </c>
      <c r="O382" s="1528">
        <v>12</v>
      </c>
      <c r="P382" s="1528"/>
      <c r="Q382" s="1528"/>
      <c r="R382" s="1528"/>
      <c r="S382" s="1528" t="s">
        <v>2129</v>
      </c>
      <c r="T382" s="1528" t="s">
        <v>2129</v>
      </c>
      <c r="U382" s="1528" t="s">
        <v>2129</v>
      </c>
      <c r="V382" s="1528" t="s">
        <v>2129</v>
      </c>
      <c r="W382" s="1528" t="s">
        <v>2129</v>
      </c>
      <c r="X382" s="1528" t="s">
        <v>2129</v>
      </c>
      <c r="Y382" s="1528" t="s">
        <v>2129</v>
      </c>
      <c r="Z382" s="1528" t="s">
        <v>2129</v>
      </c>
      <c r="AA382" s="1528" t="s">
        <v>2129</v>
      </c>
      <c r="AB382" s="1528" t="s">
        <v>2129</v>
      </c>
      <c r="AC382" s="1528" t="s">
        <v>2129</v>
      </c>
      <c r="AD382" s="1528" t="s">
        <v>2129</v>
      </c>
      <c r="AE382" s="1528" t="s">
        <v>2129</v>
      </c>
      <c r="AF382" s="1528" t="s">
        <v>2129</v>
      </c>
      <c r="AG382" s="1528" t="s">
        <v>2129</v>
      </c>
    </row>
    <row r="383" spans="1:33" ht="60" hidden="1" thickBot="1">
      <c r="A383" s="1530"/>
      <c r="B383" s="1532"/>
      <c r="C383" s="1530"/>
      <c r="D383" s="1409" t="s">
        <v>1425</v>
      </c>
      <c r="E383" s="1529"/>
      <c r="F383" s="1529"/>
      <c r="G383" s="1529"/>
      <c r="H383" s="1529"/>
      <c r="I383" s="1529"/>
      <c r="J383" s="1529"/>
      <c r="K383" s="1529"/>
      <c r="L383" s="1529"/>
      <c r="M383" s="1529"/>
      <c r="N383" s="1529"/>
      <c r="O383" s="1529"/>
      <c r="P383" s="1529"/>
      <c r="Q383" s="1529"/>
      <c r="R383" s="1529"/>
      <c r="S383" s="1529"/>
      <c r="T383" s="1529"/>
      <c r="U383" s="1529"/>
      <c r="V383" s="1529"/>
      <c r="W383" s="1529"/>
      <c r="X383" s="1529"/>
      <c r="Y383" s="1529"/>
      <c r="Z383" s="1529"/>
      <c r="AA383" s="1529"/>
      <c r="AB383" s="1529"/>
      <c r="AC383" s="1529"/>
      <c r="AD383" s="1529"/>
      <c r="AE383" s="1529"/>
      <c r="AF383" s="1529"/>
      <c r="AG383" s="1529"/>
    </row>
    <row r="384" spans="1:33" ht="18.75" hidden="1" thickBot="1">
      <c r="A384" s="1530"/>
      <c r="B384" s="1532"/>
      <c r="C384" s="1530"/>
      <c r="D384" s="1410" t="s">
        <v>1426</v>
      </c>
      <c r="E384" s="1528" t="s">
        <v>2129</v>
      </c>
      <c r="F384" s="1528" t="s">
        <v>2129</v>
      </c>
      <c r="G384" s="1528" t="s">
        <v>2129</v>
      </c>
      <c r="H384" s="1528" t="s">
        <v>2129</v>
      </c>
      <c r="I384" s="1528" t="s">
        <v>2129</v>
      </c>
      <c r="J384" s="1528" t="s">
        <v>2129</v>
      </c>
      <c r="K384" s="1528" t="s">
        <v>2129</v>
      </c>
      <c r="L384" s="1528" t="s">
        <v>1424</v>
      </c>
      <c r="M384" s="1528">
        <v>889</v>
      </c>
      <c r="N384" s="1528">
        <v>1</v>
      </c>
      <c r="O384" s="1528">
        <v>1</v>
      </c>
      <c r="P384" s="1528"/>
      <c r="Q384" s="1528"/>
      <c r="R384" s="1528"/>
      <c r="S384" s="1528" t="s">
        <v>2129</v>
      </c>
      <c r="T384" s="1528" t="s">
        <v>2129</v>
      </c>
      <c r="U384" s="1528" t="s">
        <v>2129</v>
      </c>
      <c r="V384" s="1528" t="s">
        <v>2129</v>
      </c>
      <c r="W384" s="1528" t="s">
        <v>2129</v>
      </c>
      <c r="X384" s="1528" t="s">
        <v>2129</v>
      </c>
      <c r="Y384" s="1528" t="s">
        <v>2129</v>
      </c>
      <c r="Z384" s="1528" t="s">
        <v>2129</v>
      </c>
      <c r="AA384" s="1528" t="s">
        <v>2129</v>
      </c>
      <c r="AB384" s="1528" t="s">
        <v>2129</v>
      </c>
      <c r="AC384" s="1528" t="s">
        <v>2129</v>
      </c>
      <c r="AD384" s="1528" t="s">
        <v>2129</v>
      </c>
      <c r="AE384" s="1528" t="s">
        <v>2129</v>
      </c>
      <c r="AF384" s="1528" t="s">
        <v>2129</v>
      </c>
      <c r="AG384" s="1528" t="s">
        <v>2129</v>
      </c>
    </row>
    <row r="385" spans="1:33" ht="68.25" hidden="1" thickBot="1">
      <c r="A385" s="1530"/>
      <c r="B385" s="1532"/>
      <c r="C385" s="1530"/>
      <c r="D385" s="1409" t="s">
        <v>1427</v>
      </c>
      <c r="E385" s="1529"/>
      <c r="F385" s="1529"/>
      <c r="G385" s="1529"/>
      <c r="H385" s="1529"/>
      <c r="I385" s="1529"/>
      <c r="J385" s="1529"/>
      <c r="K385" s="1529"/>
      <c r="L385" s="1529"/>
      <c r="M385" s="1529"/>
      <c r="N385" s="1529"/>
      <c r="O385" s="1529"/>
      <c r="P385" s="1529"/>
      <c r="Q385" s="1529"/>
      <c r="R385" s="1529"/>
      <c r="S385" s="1529"/>
      <c r="T385" s="1529"/>
      <c r="U385" s="1529"/>
      <c r="V385" s="1529"/>
      <c r="W385" s="1529"/>
      <c r="X385" s="1529"/>
      <c r="Y385" s="1529"/>
      <c r="Z385" s="1529"/>
      <c r="AA385" s="1529"/>
      <c r="AB385" s="1529"/>
      <c r="AC385" s="1529"/>
      <c r="AD385" s="1529"/>
      <c r="AE385" s="1529"/>
      <c r="AF385" s="1529"/>
      <c r="AG385" s="1529"/>
    </row>
    <row r="386" spans="1:33" ht="18.75" hidden="1" thickBot="1">
      <c r="A386" s="1530"/>
      <c r="B386" s="1532"/>
      <c r="C386" s="1530"/>
      <c r="D386" s="1410" t="s">
        <v>1957</v>
      </c>
      <c r="E386" s="1528" t="s">
        <v>2129</v>
      </c>
      <c r="F386" s="1528" t="s">
        <v>2129</v>
      </c>
      <c r="G386" s="1528" t="s">
        <v>2129</v>
      </c>
      <c r="H386" s="1528" t="s">
        <v>2129</v>
      </c>
      <c r="I386" s="1528" t="s">
        <v>2129</v>
      </c>
      <c r="J386" s="1528" t="s">
        <v>2129</v>
      </c>
      <c r="K386" s="1528" t="s">
        <v>2129</v>
      </c>
      <c r="L386" s="1528" t="s">
        <v>1428</v>
      </c>
      <c r="M386" s="1528">
        <v>6</v>
      </c>
      <c r="N386" s="1528">
        <v>20</v>
      </c>
      <c r="O386" s="1528">
        <v>20</v>
      </c>
      <c r="P386" s="1528"/>
      <c r="Q386" s="1528"/>
      <c r="R386" s="1528"/>
      <c r="S386" s="1528" t="s">
        <v>2129</v>
      </c>
      <c r="T386" s="1528" t="s">
        <v>2129</v>
      </c>
      <c r="U386" s="1528" t="s">
        <v>2129</v>
      </c>
      <c r="V386" s="1528" t="s">
        <v>2129</v>
      </c>
      <c r="W386" s="1528" t="s">
        <v>2129</v>
      </c>
      <c r="X386" s="1528" t="s">
        <v>2129</v>
      </c>
      <c r="Y386" s="1528" t="s">
        <v>2129</v>
      </c>
      <c r="Z386" s="1528" t="s">
        <v>2129</v>
      </c>
      <c r="AA386" s="1528" t="s">
        <v>2129</v>
      </c>
      <c r="AB386" s="1528" t="s">
        <v>2129</v>
      </c>
      <c r="AC386" s="1528" t="s">
        <v>2129</v>
      </c>
      <c r="AD386" s="1528" t="s">
        <v>2129</v>
      </c>
      <c r="AE386" s="1528" t="s">
        <v>2129</v>
      </c>
      <c r="AF386" s="1528" t="s">
        <v>2129</v>
      </c>
      <c r="AG386" s="1528" t="s">
        <v>2129</v>
      </c>
    </row>
    <row r="387" spans="1:33" ht="68.25" hidden="1" thickBot="1">
      <c r="A387" s="1530"/>
      <c r="B387" s="1532"/>
      <c r="C387" s="1530"/>
      <c r="D387" s="1409" t="s">
        <v>1429</v>
      </c>
      <c r="E387" s="1529"/>
      <c r="F387" s="1529"/>
      <c r="G387" s="1529"/>
      <c r="H387" s="1529"/>
      <c r="I387" s="1529"/>
      <c r="J387" s="1529"/>
      <c r="K387" s="1529"/>
      <c r="L387" s="1529"/>
      <c r="M387" s="1529"/>
      <c r="N387" s="1529"/>
      <c r="O387" s="1529"/>
      <c r="P387" s="1529"/>
      <c r="Q387" s="1529"/>
      <c r="R387" s="1529"/>
      <c r="S387" s="1529"/>
      <c r="T387" s="1529"/>
      <c r="U387" s="1529"/>
      <c r="V387" s="1529"/>
      <c r="W387" s="1529"/>
      <c r="X387" s="1529"/>
      <c r="Y387" s="1529"/>
      <c r="Z387" s="1529"/>
      <c r="AA387" s="1529"/>
      <c r="AB387" s="1529"/>
      <c r="AC387" s="1529"/>
      <c r="AD387" s="1529"/>
      <c r="AE387" s="1529"/>
      <c r="AF387" s="1529"/>
      <c r="AG387" s="1529"/>
    </row>
    <row r="388" spans="1:33" ht="27" hidden="1" thickBot="1">
      <c r="A388" s="1530"/>
      <c r="B388" s="1532"/>
      <c r="C388" s="1530"/>
      <c r="D388" s="1410" t="s">
        <v>1959</v>
      </c>
      <c r="E388" s="1528" t="s">
        <v>2129</v>
      </c>
      <c r="F388" s="1528" t="s">
        <v>2129</v>
      </c>
      <c r="G388" s="1528" t="s">
        <v>2129</v>
      </c>
      <c r="H388" s="1528" t="s">
        <v>2129</v>
      </c>
      <c r="I388" s="1528" t="s">
        <v>2129</v>
      </c>
      <c r="J388" s="1528" t="s">
        <v>2129</v>
      </c>
      <c r="K388" s="1528" t="s">
        <v>2129</v>
      </c>
      <c r="L388" s="1528" t="s">
        <v>1428</v>
      </c>
      <c r="M388" s="1528">
        <v>6</v>
      </c>
      <c r="N388" s="1528">
        <v>20</v>
      </c>
      <c r="O388" s="1528">
        <v>20</v>
      </c>
      <c r="P388" s="1528"/>
      <c r="Q388" s="1528"/>
      <c r="R388" s="1528"/>
      <c r="S388" s="1528" t="s">
        <v>2129</v>
      </c>
      <c r="T388" s="1528" t="s">
        <v>2129</v>
      </c>
      <c r="U388" s="1528" t="s">
        <v>2129</v>
      </c>
      <c r="V388" s="1528" t="s">
        <v>2129</v>
      </c>
      <c r="W388" s="1528" t="s">
        <v>2129</v>
      </c>
      <c r="X388" s="1528" t="s">
        <v>2129</v>
      </c>
      <c r="Y388" s="1528" t="s">
        <v>2129</v>
      </c>
      <c r="Z388" s="1528" t="s">
        <v>2129</v>
      </c>
      <c r="AA388" s="1528" t="s">
        <v>2129</v>
      </c>
      <c r="AB388" s="1528" t="s">
        <v>2129</v>
      </c>
      <c r="AC388" s="1528" t="s">
        <v>2129</v>
      </c>
      <c r="AD388" s="1528" t="s">
        <v>2129</v>
      </c>
      <c r="AE388" s="1528" t="s">
        <v>2129</v>
      </c>
      <c r="AF388" s="1528" t="s">
        <v>2129</v>
      </c>
      <c r="AG388" s="1528" t="s">
        <v>2129</v>
      </c>
    </row>
    <row r="389" spans="1:33" ht="76.5" hidden="1" thickBot="1">
      <c r="A389" s="1529"/>
      <c r="B389" s="1533"/>
      <c r="C389" s="1529"/>
      <c r="D389" s="1409" t="s">
        <v>1430</v>
      </c>
      <c r="E389" s="1529"/>
      <c r="F389" s="1529"/>
      <c r="G389" s="1529"/>
      <c r="H389" s="1529"/>
      <c r="I389" s="1529"/>
      <c r="J389" s="1529"/>
      <c r="K389" s="1529"/>
      <c r="L389" s="1529"/>
      <c r="M389" s="1529"/>
      <c r="N389" s="1529"/>
      <c r="O389" s="1529"/>
      <c r="P389" s="1529"/>
      <c r="Q389" s="1529"/>
      <c r="R389" s="1529"/>
      <c r="S389" s="1529"/>
      <c r="T389" s="1529"/>
      <c r="U389" s="1529"/>
      <c r="V389" s="1529"/>
      <c r="W389" s="1529"/>
      <c r="X389" s="1529"/>
      <c r="Y389" s="1529"/>
      <c r="Z389" s="1529"/>
      <c r="AA389" s="1529"/>
      <c r="AB389" s="1529"/>
      <c r="AC389" s="1529"/>
      <c r="AD389" s="1529"/>
      <c r="AE389" s="1529"/>
      <c r="AF389" s="1529"/>
      <c r="AG389" s="1529"/>
    </row>
    <row r="390" spans="1:33" ht="25.5" hidden="1" customHeight="1">
      <c r="A390" s="1528">
        <v>56</v>
      </c>
      <c r="B390" s="1531">
        <v>1.7224300000000002E+35</v>
      </c>
      <c r="C390" s="1528" t="s">
        <v>1431</v>
      </c>
      <c r="D390" s="1528" t="s">
        <v>1432</v>
      </c>
      <c r="E390" s="1528" t="s">
        <v>1433</v>
      </c>
      <c r="F390" s="1528"/>
      <c r="G390" s="1528">
        <v>21938</v>
      </c>
      <c r="H390" s="1528">
        <v>21938</v>
      </c>
      <c r="I390" s="1528">
        <v>0</v>
      </c>
      <c r="J390" s="1528">
        <v>0</v>
      </c>
      <c r="K390" s="1528">
        <v>0</v>
      </c>
      <c r="L390" s="1528" t="s">
        <v>2129</v>
      </c>
      <c r="M390" s="1528" t="s">
        <v>2129</v>
      </c>
      <c r="N390" s="1528" t="s">
        <v>2129</v>
      </c>
      <c r="O390" s="1528" t="s">
        <v>2129</v>
      </c>
      <c r="P390" s="1528" t="s">
        <v>2129</v>
      </c>
      <c r="Q390" s="1528" t="s">
        <v>2129</v>
      </c>
      <c r="R390" s="1528" t="s">
        <v>2129</v>
      </c>
      <c r="S390" s="1410" t="s">
        <v>2163</v>
      </c>
      <c r="T390" s="1528"/>
      <c r="U390" s="1528"/>
      <c r="V390" s="1528">
        <v>11.201700000000001</v>
      </c>
      <c r="W390" s="1528">
        <v>12.201700000000001</v>
      </c>
      <c r="X390" s="1528" t="s">
        <v>2131</v>
      </c>
      <c r="Y390" s="1528" t="s">
        <v>2132</v>
      </c>
      <c r="Z390" s="1528" t="s">
        <v>2132</v>
      </c>
      <c r="AA390" s="1528"/>
      <c r="AB390" s="1528"/>
      <c r="AC390" s="1528"/>
      <c r="AD390" s="1528" t="s">
        <v>2133</v>
      </c>
      <c r="AE390" s="1410" t="s">
        <v>2134</v>
      </c>
      <c r="AF390" s="1528"/>
      <c r="AG390" s="1528"/>
    </row>
    <row r="391" spans="1:33" ht="76.5" hidden="1" thickBot="1">
      <c r="A391" s="1530"/>
      <c r="B391" s="1532"/>
      <c r="C391" s="1530"/>
      <c r="D391" s="1529"/>
      <c r="E391" s="1529"/>
      <c r="F391" s="1529"/>
      <c r="G391" s="1529"/>
      <c r="H391" s="1529"/>
      <c r="I391" s="1529"/>
      <c r="J391" s="1529"/>
      <c r="K391" s="1529"/>
      <c r="L391" s="1529"/>
      <c r="M391" s="1529"/>
      <c r="N391" s="1529"/>
      <c r="O391" s="1529"/>
      <c r="P391" s="1529"/>
      <c r="Q391" s="1529"/>
      <c r="R391" s="1529"/>
      <c r="S391" s="1409" t="s">
        <v>1434</v>
      </c>
      <c r="T391" s="1529"/>
      <c r="U391" s="1529"/>
      <c r="V391" s="1529"/>
      <c r="W391" s="1529"/>
      <c r="X391" s="1529"/>
      <c r="Y391" s="1529"/>
      <c r="Z391" s="1529"/>
      <c r="AA391" s="1529"/>
      <c r="AB391" s="1529"/>
      <c r="AC391" s="1529"/>
      <c r="AD391" s="1529"/>
      <c r="AE391" s="1409" t="s">
        <v>2136</v>
      </c>
      <c r="AF391" s="1529"/>
      <c r="AG391" s="1529"/>
    </row>
    <row r="392" spans="1:33" ht="18.75" hidden="1" thickBot="1">
      <c r="A392" s="1530"/>
      <c r="B392" s="1532"/>
      <c r="C392" s="1530"/>
      <c r="D392" s="1409" t="s">
        <v>1435</v>
      </c>
      <c r="E392" s="1409" t="s">
        <v>2129</v>
      </c>
      <c r="F392" s="1409" t="s">
        <v>2129</v>
      </c>
      <c r="G392" s="1409" t="s">
        <v>2129</v>
      </c>
      <c r="H392" s="1409" t="s">
        <v>2129</v>
      </c>
      <c r="I392" s="1409" t="s">
        <v>2129</v>
      </c>
      <c r="J392" s="1409" t="s">
        <v>2129</v>
      </c>
      <c r="K392" s="1409" t="s">
        <v>2129</v>
      </c>
      <c r="L392" s="1409" t="s">
        <v>2166</v>
      </c>
      <c r="M392" s="1409">
        <v>796</v>
      </c>
      <c r="N392" s="1409">
        <v>4</v>
      </c>
      <c r="O392" s="1409">
        <v>4</v>
      </c>
      <c r="P392" s="1409"/>
      <c r="Q392" s="1409"/>
      <c r="R392" s="1409"/>
      <c r="S392" s="1409" t="s">
        <v>2129</v>
      </c>
      <c r="T392" s="1409" t="s">
        <v>2129</v>
      </c>
      <c r="U392" s="1409" t="s">
        <v>2129</v>
      </c>
      <c r="V392" s="1409" t="s">
        <v>2129</v>
      </c>
      <c r="W392" s="1409" t="s">
        <v>2129</v>
      </c>
      <c r="X392" s="1409" t="s">
        <v>2129</v>
      </c>
      <c r="Y392" s="1409" t="s">
        <v>2129</v>
      </c>
      <c r="Z392" s="1409" t="s">
        <v>2129</v>
      </c>
      <c r="AA392" s="1409" t="s">
        <v>2129</v>
      </c>
      <c r="AB392" s="1409" t="s">
        <v>2129</v>
      </c>
      <c r="AC392" s="1409" t="s">
        <v>2129</v>
      </c>
      <c r="AD392" s="1409" t="s">
        <v>2129</v>
      </c>
      <c r="AE392" s="1409" t="s">
        <v>2129</v>
      </c>
      <c r="AF392" s="1409" t="s">
        <v>2129</v>
      </c>
      <c r="AG392" s="1409" t="s">
        <v>2129</v>
      </c>
    </row>
    <row r="393" spans="1:33" ht="35.25" hidden="1" thickBot="1">
      <c r="A393" s="1530"/>
      <c r="B393" s="1532"/>
      <c r="C393" s="1530"/>
      <c r="D393" s="1409" t="s">
        <v>1436</v>
      </c>
      <c r="E393" s="1409" t="s">
        <v>2129</v>
      </c>
      <c r="F393" s="1409" t="s">
        <v>2129</v>
      </c>
      <c r="G393" s="1409" t="s">
        <v>2129</v>
      </c>
      <c r="H393" s="1409" t="s">
        <v>2129</v>
      </c>
      <c r="I393" s="1409" t="s">
        <v>2129</v>
      </c>
      <c r="J393" s="1409" t="s">
        <v>2129</v>
      </c>
      <c r="K393" s="1409" t="s">
        <v>2129</v>
      </c>
      <c r="L393" s="1409" t="s">
        <v>2166</v>
      </c>
      <c r="M393" s="1409">
        <v>796</v>
      </c>
      <c r="N393" s="1409">
        <v>7</v>
      </c>
      <c r="O393" s="1409">
        <v>7</v>
      </c>
      <c r="P393" s="1409"/>
      <c r="Q393" s="1409"/>
      <c r="R393" s="1409"/>
      <c r="S393" s="1409" t="s">
        <v>2129</v>
      </c>
      <c r="T393" s="1409" t="s">
        <v>2129</v>
      </c>
      <c r="U393" s="1409" t="s">
        <v>2129</v>
      </c>
      <c r="V393" s="1409" t="s">
        <v>2129</v>
      </c>
      <c r="W393" s="1409" t="s">
        <v>2129</v>
      </c>
      <c r="X393" s="1409" t="s">
        <v>2129</v>
      </c>
      <c r="Y393" s="1409" t="s">
        <v>2129</v>
      </c>
      <c r="Z393" s="1409" t="s">
        <v>2129</v>
      </c>
      <c r="AA393" s="1409" t="s">
        <v>2129</v>
      </c>
      <c r="AB393" s="1409" t="s">
        <v>2129</v>
      </c>
      <c r="AC393" s="1409" t="s">
        <v>2129</v>
      </c>
      <c r="AD393" s="1409" t="s">
        <v>2129</v>
      </c>
      <c r="AE393" s="1409" t="s">
        <v>2129</v>
      </c>
      <c r="AF393" s="1409" t="s">
        <v>2129</v>
      </c>
      <c r="AG393" s="1409" t="s">
        <v>2129</v>
      </c>
    </row>
    <row r="394" spans="1:33" ht="18.75" hidden="1" thickBot="1">
      <c r="A394" s="1530"/>
      <c r="B394" s="1532"/>
      <c r="C394" s="1530"/>
      <c r="D394" s="1409" t="s">
        <v>1437</v>
      </c>
      <c r="E394" s="1409" t="s">
        <v>2129</v>
      </c>
      <c r="F394" s="1409" t="s">
        <v>2129</v>
      </c>
      <c r="G394" s="1409" t="s">
        <v>2129</v>
      </c>
      <c r="H394" s="1409" t="s">
        <v>2129</v>
      </c>
      <c r="I394" s="1409" t="s">
        <v>2129</v>
      </c>
      <c r="J394" s="1409" t="s">
        <v>2129</v>
      </c>
      <c r="K394" s="1409" t="s">
        <v>2129</v>
      </c>
      <c r="L394" s="1409" t="s">
        <v>2166</v>
      </c>
      <c r="M394" s="1409">
        <v>796</v>
      </c>
      <c r="N394" s="1409">
        <v>5</v>
      </c>
      <c r="O394" s="1409">
        <v>5</v>
      </c>
      <c r="P394" s="1409"/>
      <c r="Q394" s="1409"/>
      <c r="R394" s="1409"/>
      <c r="S394" s="1409" t="s">
        <v>2129</v>
      </c>
      <c r="T394" s="1409" t="s">
        <v>2129</v>
      </c>
      <c r="U394" s="1409" t="s">
        <v>2129</v>
      </c>
      <c r="V394" s="1409" t="s">
        <v>2129</v>
      </c>
      <c r="W394" s="1409" t="s">
        <v>2129</v>
      </c>
      <c r="X394" s="1409" t="s">
        <v>2129</v>
      </c>
      <c r="Y394" s="1409" t="s">
        <v>2129</v>
      </c>
      <c r="Z394" s="1409" t="s">
        <v>2129</v>
      </c>
      <c r="AA394" s="1409" t="s">
        <v>2129</v>
      </c>
      <c r="AB394" s="1409" t="s">
        <v>2129</v>
      </c>
      <c r="AC394" s="1409" t="s">
        <v>2129</v>
      </c>
      <c r="AD394" s="1409" t="s">
        <v>2129</v>
      </c>
      <c r="AE394" s="1409" t="s">
        <v>2129</v>
      </c>
      <c r="AF394" s="1409" t="s">
        <v>2129</v>
      </c>
      <c r="AG394" s="1409" t="s">
        <v>2129</v>
      </c>
    </row>
    <row r="395" spans="1:33" ht="18.75" hidden="1" thickBot="1">
      <c r="A395" s="1530"/>
      <c r="B395" s="1532"/>
      <c r="C395" s="1530"/>
      <c r="D395" s="1409" t="s">
        <v>1437</v>
      </c>
      <c r="E395" s="1409" t="s">
        <v>2129</v>
      </c>
      <c r="F395" s="1409" t="s">
        <v>2129</v>
      </c>
      <c r="G395" s="1409" t="s">
        <v>2129</v>
      </c>
      <c r="H395" s="1409" t="s">
        <v>2129</v>
      </c>
      <c r="I395" s="1409" t="s">
        <v>2129</v>
      </c>
      <c r="J395" s="1409" t="s">
        <v>2129</v>
      </c>
      <c r="K395" s="1409" t="s">
        <v>2129</v>
      </c>
      <c r="L395" s="1409" t="s">
        <v>2166</v>
      </c>
      <c r="M395" s="1409">
        <v>796</v>
      </c>
      <c r="N395" s="1409">
        <v>5</v>
      </c>
      <c r="O395" s="1409">
        <v>5</v>
      </c>
      <c r="P395" s="1409"/>
      <c r="Q395" s="1409"/>
      <c r="R395" s="1409"/>
      <c r="S395" s="1409" t="s">
        <v>2129</v>
      </c>
      <c r="T395" s="1409" t="s">
        <v>2129</v>
      </c>
      <c r="U395" s="1409" t="s">
        <v>2129</v>
      </c>
      <c r="V395" s="1409" t="s">
        <v>2129</v>
      </c>
      <c r="W395" s="1409" t="s">
        <v>2129</v>
      </c>
      <c r="X395" s="1409" t="s">
        <v>2129</v>
      </c>
      <c r="Y395" s="1409" t="s">
        <v>2129</v>
      </c>
      <c r="Z395" s="1409" t="s">
        <v>2129</v>
      </c>
      <c r="AA395" s="1409" t="s">
        <v>2129</v>
      </c>
      <c r="AB395" s="1409" t="s">
        <v>2129</v>
      </c>
      <c r="AC395" s="1409" t="s">
        <v>2129</v>
      </c>
      <c r="AD395" s="1409" t="s">
        <v>2129</v>
      </c>
      <c r="AE395" s="1409" t="s">
        <v>2129</v>
      </c>
      <c r="AF395" s="1409" t="s">
        <v>2129</v>
      </c>
      <c r="AG395" s="1409" t="s">
        <v>2129</v>
      </c>
    </row>
    <row r="396" spans="1:33" ht="15.75" hidden="1" thickBot="1">
      <c r="A396" s="1530"/>
      <c r="B396" s="1532"/>
      <c r="C396" s="1530"/>
      <c r="D396" s="1409" t="s">
        <v>1438</v>
      </c>
      <c r="E396" s="1409" t="s">
        <v>2129</v>
      </c>
      <c r="F396" s="1409" t="s">
        <v>2129</v>
      </c>
      <c r="G396" s="1409" t="s">
        <v>2129</v>
      </c>
      <c r="H396" s="1409" t="s">
        <v>2129</v>
      </c>
      <c r="I396" s="1409" t="s">
        <v>2129</v>
      </c>
      <c r="J396" s="1409" t="s">
        <v>2129</v>
      </c>
      <c r="K396" s="1409" t="s">
        <v>2129</v>
      </c>
      <c r="L396" s="1409" t="s">
        <v>2166</v>
      </c>
      <c r="M396" s="1409">
        <v>796</v>
      </c>
      <c r="N396" s="1409">
        <v>30</v>
      </c>
      <c r="O396" s="1409">
        <v>30</v>
      </c>
      <c r="P396" s="1409"/>
      <c r="Q396" s="1409"/>
      <c r="R396" s="1409"/>
      <c r="S396" s="1409" t="s">
        <v>2129</v>
      </c>
      <c r="T396" s="1409" t="s">
        <v>2129</v>
      </c>
      <c r="U396" s="1409" t="s">
        <v>2129</v>
      </c>
      <c r="V396" s="1409" t="s">
        <v>2129</v>
      </c>
      <c r="W396" s="1409" t="s">
        <v>2129</v>
      </c>
      <c r="X396" s="1409" t="s">
        <v>2129</v>
      </c>
      <c r="Y396" s="1409" t="s">
        <v>2129</v>
      </c>
      <c r="Z396" s="1409" t="s">
        <v>2129</v>
      </c>
      <c r="AA396" s="1409" t="s">
        <v>2129</v>
      </c>
      <c r="AB396" s="1409" t="s">
        <v>2129</v>
      </c>
      <c r="AC396" s="1409" t="s">
        <v>2129</v>
      </c>
      <c r="AD396" s="1409" t="s">
        <v>2129</v>
      </c>
      <c r="AE396" s="1409" t="s">
        <v>2129</v>
      </c>
      <c r="AF396" s="1409" t="s">
        <v>2129</v>
      </c>
      <c r="AG396" s="1409" t="s">
        <v>2129</v>
      </c>
    </row>
    <row r="397" spans="1:33" ht="15.75" hidden="1" thickBot="1">
      <c r="A397" s="1530"/>
      <c r="B397" s="1532"/>
      <c r="C397" s="1530"/>
      <c r="D397" s="1409" t="s">
        <v>1439</v>
      </c>
      <c r="E397" s="1409" t="s">
        <v>2129</v>
      </c>
      <c r="F397" s="1409" t="s">
        <v>2129</v>
      </c>
      <c r="G397" s="1409" t="s">
        <v>2129</v>
      </c>
      <c r="H397" s="1409" t="s">
        <v>2129</v>
      </c>
      <c r="I397" s="1409" t="s">
        <v>2129</v>
      </c>
      <c r="J397" s="1409" t="s">
        <v>2129</v>
      </c>
      <c r="K397" s="1409" t="s">
        <v>2129</v>
      </c>
      <c r="L397" s="1409" t="s">
        <v>2166</v>
      </c>
      <c r="M397" s="1409">
        <v>796</v>
      </c>
      <c r="N397" s="1409">
        <v>5</v>
      </c>
      <c r="O397" s="1409">
        <v>5</v>
      </c>
      <c r="P397" s="1409"/>
      <c r="Q397" s="1409"/>
      <c r="R397" s="1409"/>
      <c r="S397" s="1409" t="s">
        <v>2129</v>
      </c>
      <c r="T397" s="1409" t="s">
        <v>2129</v>
      </c>
      <c r="U397" s="1409" t="s">
        <v>2129</v>
      </c>
      <c r="V397" s="1409" t="s">
        <v>2129</v>
      </c>
      <c r="W397" s="1409" t="s">
        <v>2129</v>
      </c>
      <c r="X397" s="1409" t="s">
        <v>2129</v>
      </c>
      <c r="Y397" s="1409" t="s">
        <v>2129</v>
      </c>
      <c r="Z397" s="1409" t="s">
        <v>2129</v>
      </c>
      <c r="AA397" s="1409" t="s">
        <v>2129</v>
      </c>
      <c r="AB397" s="1409" t="s">
        <v>2129</v>
      </c>
      <c r="AC397" s="1409" t="s">
        <v>2129</v>
      </c>
      <c r="AD397" s="1409" t="s">
        <v>2129</v>
      </c>
      <c r="AE397" s="1409" t="s">
        <v>2129</v>
      </c>
      <c r="AF397" s="1409" t="s">
        <v>2129</v>
      </c>
      <c r="AG397" s="1409" t="s">
        <v>2129</v>
      </c>
    </row>
    <row r="398" spans="1:33" ht="15.75" hidden="1" thickBot="1">
      <c r="A398" s="1530"/>
      <c r="B398" s="1532"/>
      <c r="C398" s="1530"/>
      <c r="D398" s="1409" t="s">
        <v>1440</v>
      </c>
      <c r="E398" s="1409" t="s">
        <v>2129</v>
      </c>
      <c r="F398" s="1409" t="s">
        <v>2129</v>
      </c>
      <c r="G398" s="1409" t="s">
        <v>2129</v>
      </c>
      <c r="H398" s="1409" t="s">
        <v>2129</v>
      </c>
      <c r="I398" s="1409" t="s">
        <v>2129</v>
      </c>
      <c r="J398" s="1409" t="s">
        <v>2129</v>
      </c>
      <c r="K398" s="1409" t="s">
        <v>2129</v>
      </c>
      <c r="L398" s="1409" t="s">
        <v>2166</v>
      </c>
      <c r="M398" s="1409">
        <v>796</v>
      </c>
      <c r="N398" s="1409">
        <v>5</v>
      </c>
      <c r="O398" s="1409">
        <v>5</v>
      </c>
      <c r="P398" s="1409"/>
      <c r="Q398" s="1409"/>
      <c r="R398" s="1409"/>
      <c r="S398" s="1409" t="s">
        <v>2129</v>
      </c>
      <c r="T398" s="1409" t="s">
        <v>2129</v>
      </c>
      <c r="U398" s="1409" t="s">
        <v>2129</v>
      </c>
      <c r="V398" s="1409" t="s">
        <v>2129</v>
      </c>
      <c r="W398" s="1409" t="s">
        <v>2129</v>
      </c>
      <c r="X398" s="1409" t="s">
        <v>2129</v>
      </c>
      <c r="Y398" s="1409" t="s">
        <v>2129</v>
      </c>
      <c r="Z398" s="1409" t="s">
        <v>2129</v>
      </c>
      <c r="AA398" s="1409" t="s">
        <v>2129</v>
      </c>
      <c r="AB398" s="1409" t="s">
        <v>2129</v>
      </c>
      <c r="AC398" s="1409" t="s">
        <v>2129</v>
      </c>
      <c r="AD398" s="1409" t="s">
        <v>2129</v>
      </c>
      <c r="AE398" s="1409" t="s">
        <v>2129</v>
      </c>
      <c r="AF398" s="1409" t="s">
        <v>2129</v>
      </c>
      <c r="AG398" s="1409" t="s">
        <v>2129</v>
      </c>
    </row>
    <row r="399" spans="1:33" ht="18.75" hidden="1" thickBot="1">
      <c r="A399" s="1530"/>
      <c r="B399" s="1532"/>
      <c r="C399" s="1530"/>
      <c r="D399" s="1409" t="s">
        <v>1441</v>
      </c>
      <c r="E399" s="1409" t="s">
        <v>2129</v>
      </c>
      <c r="F399" s="1409" t="s">
        <v>2129</v>
      </c>
      <c r="G399" s="1409" t="s">
        <v>2129</v>
      </c>
      <c r="H399" s="1409" t="s">
        <v>2129</v>
      </c>
      <c r="I399" s="1409" t="s">
        <v>2129</v>
      </c>
      <c r="J399" s="1409" t="s">
        <v>2129</v>
      </c>
      <c r="K399" s="1409" t="s">
        <v>2129</v>
      </c>
      <c r="L399" s="1409" t="s">
        <v>2166</v>
      </c>
      <c r="M399" s="1409">
        <v>796</v>
      </c>
      <c r="N399" s="1409">
        <v>18</v>
      </c>
      <c r="O399" s="1409">
        <v>18</v>
      </c>
      <c r="P399" s="1409"/>
      <c r="Q399" s="1409"/>
      <c r="R399" s="1409"/>
      <c r="S399" s="1409" t="s">
        <v>2129</v>
      </c>
      <c r="T399" s="1409" t="s">
        <v>2129</v>
      </c>
      <c r="U399" s="1409" t="s">
        <v>2129</v>
      </c>
      <c r="V399" s="1409" t="s">
        <v>2129</v>
      </c>
      <c r="W399" s="1409" t="s">
        <v>2129</v>
      </c>
      <c r="X399" s="1409" t="s">
        <v>2129</v>
      </c>
      <c r="Y399" s="1409" t="s">
        <v>2129</v>
      </c>
      <c r="Z399" s="1409" t="s">
        <v>2129</v>
      </c>
      <c r="AA399" s="1409" t="s">
        <v>2129</v>
      </c>
      <c r="AB399" s="1409" t="s">
        <v>2129</v>
      </c>
      <c r="AC399" s="1409" t="s">
        <v>2129</v>
      </c>
      <c r="AD399" s="1409" t="s">
        <v>2129</v>
      </c>
      <c r="AE399" s="1409" t="s">
        <v>2129</v>
      </c>
      <c r="AF399" s="1409" t="s">
        <v>2129</v>
      </c>
      <c r="AG399" s="1409" t="s">
        <v>2129</v>
      </c>
    </row>
    <row r="400" spans="1:33" ht="18.75" hidden="1" thickBot="1">
      <c r="A400" s="1530"/>
      <c r="B400" s="1532"/>
      <c r="C400" s="1530"/>
      <c r="D400" s="1409" t="s">
        <v>1442</v>
      </c>
      <c r="E400" s="1409" t="s">
        <v>2129</v>
      </c>
      <c r="F400" s="1409" t="s">
        <v>2129</v>
      </c>
      <c r="G400" s="1409" t="s">
        <v>2129</v>
      </c>
      <c r="H400" s="1409" t="s">
        <v>2129</v>
      </c>
      <c r="I400" s="1409" t="s">
        <v>2129</v>
      </c>
      <c r="J400" s="1409" t="s">
        <v>2129</v>
      </c>
      <c r="K400" s="1409" t="s">
        <v>2129</v>
      </c>
      <c r="L400" s="1409" t="s">
        <v>2166</v>
      </c>
      <c r="M400" s="1409">
        <v>796</v>
      </c>
      <c r="N400" s="1409">
        <v>2</v>
      </c>
      <c r="O400" s="1409">
        <v>2</v>
      </c>
      <c r="P400" s="1409"/>
      <c r="Q400" s="1409"/>
      <c r="R400" s="1409"/>
      <c r="S400" s="1409" t="s">
        <v>2129</v>
      </c>
      <c r="T400" s="1409" t="s">
        <v>2129</v>
      </c>
      <c r="U400" s="1409" t="s">
        <v>2129</v>
      </c>
      <c r="V400" s="1409" t="s">
        <v>2129</v>
      </c>
      <c r="W400" s="1409" t="s">
        <v>2129</v>
      </c>
      <c r="X400" s="1409" t="s">
        <v>2129</v>
      </c>
      <c r="Y400" s="1409" t="s">
        <v>2129</v>
      </c>
      <c r="Z400" s="1409" t="s">
        <v>2129</v>
      </c>
      <c r="AA400" s="1409" t="s">
        <v>2129</v>
      </c>
      <c r="AB400" s="1409" t="s">
        <v>2129</v>
      </c>
      <c r="AC400" s="1409" t="s">
        <v>2129</v>
      </c>
      <c r="AD400" s="1409" t="s">
        <v>2129</v>
      </c>
      <c r="AE400" s="1409" t="s">
        <v>2129</v>
      </c>
      <c r="AF400" s="1409" t="s">
        <v>2129</v>
      </c>
      <c r="AG400" s="1409" t="s">
        <v>2129</v>
      </c>
    </row>
    <row r="401" spans="1:33" ht="15.75" hidden="1" thickBot="1">
      <c r="A401" s="1530"/>
      <c r="B401" s="1532"/>
      <c r="C401" s="1530"/>
      <c r="D401" s="1409" t="s">
        <v>2445</v>
      </c>
      <c r="E401" s="1409" t="s">
        <v>2129</v>
      </c>
      <c r="F401" s="1409" t="s">
        <v>2129</v>
      </c>
      <c r="G401" s="1409" t="s">
        <v>2129</v>
      </c>
      <c r="H401" s="1409" t="s">
        <v>2129</v>
      </c>
      <c r="I401" s="1409" t="s">
        <v>2129</v>
      </c>
      <c r="J401" s="1409" t="s">
        <v>2129</v>
      </c>
      <c r="K401" s="1409" t="s">
        <v>2129</v>
      </c>
      <c r="L401" s="1409" t="s">
        <v>2166</v>
      </c>
      <c r="M401" s="1409">
        <v>796</v>
      </c>
      <c r="N401" s="1409">
        <v>114</v>
      </c>
      <c r="O401" s="1409">
        <v>114</v>
      </c>
      <c r="P401" s="1409"/>
      <c r="Q401" s="1409"/>
      <c r="R401" s="1409"/>
      <c r="S401" s="1409" t="s">
        <v>2129</v>
      </c>
      <c r="T401" s="1409" t="s">
        <v>2129</v>
      </c>
      <c r="U401" s="1409" t="s">
        <v>2129</v>
      </c>
      <c r="V401" s="1409" t="s">
        <v>2129</v>
      </c>
      <c r="W401" s="1409" t="s">
        <v>2129</v>
      </c>
      <c r="X401" s="1409" t="s">
        <v>2129</v>
      </c>
      <c r="Y401" s="1409" t="s">
        <v>2129</v>
      </c>
      <c r="Z401" s="1409" t="s">
        <v>2129</v>
      </c>
      <c r="AA401" s="1409" t="s">
        <v>2129</v>
      </c>
      <c r="AB401" s="1409" t="s">
        <v>2129</v>
      </c>
      <c r="AC401" s="1409" t="s">
        <v>2129</v>
      </c>
      <c r="AD401" s="1409" t="s">
        <v>2129</v>
      </c>
      <c r="AE401" s="1409" t="s">
        <v>2129</v>
      </c>
      <c r="AF401" s="1409" t="s">
        <v>2129</v>
      </c>
      <c r="AG401" s="1409" t="s">
        <v>2129</v>
      </c>
    </row>
    <row r="402" spans="1:33" ht="15.75" hidden="1" thickBot="1">
      <c r="A402" s="1530"/>
      <c r="B402" s="1532"/>
      <c r="C402" s="1530"/>
      <c r="D402" s="1409" t="s">
        <v>2445</v>
      </c>
      <c r="E402" s="1409" t="s">
        <v>2129</v>
      </c>
      <c r="F402" s="1409" t="s">
        <v>2129</v>
      </c>
      <c r="G402" s="1409" t="s">
        <v>2129</v>
      </c>
      <c r="H402" s="1409" t="s">
        <v>2129</v>
      </c>
      <c r="I402" s="1409" t="s">
        <v>2129</v>
      </c>
      <c r="J402" s="1409" t="s">
        <v>2129</v>
      </c>
      <c r="K402" s="1409" t="s">
        <v>2129</v>
      </c>
      <c r="L402" s="1409" t="s">
        <v>2166</v>
      </c>
      <c r="M402" s="1409">
        <v>796</v>
      </c>
      <c r="N402" s="1409">
        <v>105</v>
      </c>
      <c r="O402" s="1409">
        <v>105</v>
      </c>
      <c r="P402" s="1409"/>
      <c r="Q402" s="1409"/>
      <c r="R402" s="1409"/>
      <c r="S402" s="1409" t="s">
        <v>2129</v>
      </c>
      <c r="T402" s="1409" t="s">
        <v>2129</v>
      </c>
      <c r="U402" s="1409" t="s">
        <v>2129</v>
      </c>
      <c r="V402" s="1409" t="s">
        <v>2129</v>
      </c>
      <c r="W402" s="1409" t="s">
        <v>2129</v>
      </c>
      <c r="X402" s="1409" t="s">
        <v>2129</v>
      </c>
      <c r="Y402" s="1409" t="s">
        <v>2129</v>
      </c>
      <c r="Z402" s="1409" t="s">
        <v>2129</v>
      </c>
      <c r="AA402" s="1409" t="s">
        <v>2129</v>
      </c>
      <c r="AB402" s="1409" t="s">
        <v>2129</v>
      </c>
      <c r="AC402" s="1409" t="s">
        <v>2129</v>
      </c>
      <c r="AD402" s="1409" t="s">
        <v>2129</v>
      </c>
      <c r="AE402" s="1409" t="s">
        <v>2129</v>
      </c>
      <c r="AF402" s="1409" t="s">
        <v>2129</v>
      </c>
      <c r="AG402" s="1409" t="s">
        <v>2129</v>
      </c>
    </row>
    <row r="403" spans="1:33" ht="15.75" hidden="1" thickBot="1">
      <c r="A403" s="1530"/>
      <c r="B403" s="1532"/>
      <c r="C403" s="1530"/>
      <c r="D403" s="1409" t="s">
        <v>1443</v>
      </c>
      <c r="E403" s="1409" t="s">
        <v>2129</v>
      </c>
      <c r="F403" s="1409" t="s">
        <v>2129</v>
      </c>
      <c r="G403" s="1409" t="s">
        <v>2129</v>
      </c>
      <c r="H403" s="1409" t="s">
        <v>2129</v>
      </c>
      <c r="I403" s="1409" t="s">
        <v>2129</v>
      </c>
      <c r="J403" s="1409" t="s">
        <v>2129</v>
      </c>
      <c r="K403" s="1409" t="s">
        <v>2129</v>
      </c>
      <c r="L403" s="1409" t="s">
        <v>2166</v>
      </c>
      <c r="M403" s="1409">
        <v>796</v>
      </c>
      <c r="N403" s="1409">
        <v>5</v>
      </c>
      <c r="O403" s="1409">
        <v>5</v>
      </c>
      <c r="P403" s="1409"/>
      <c r="Q403" s="1409"/>
      <c r="R403" s="1409"/>
      <c r="S403" s="1409" t="s">
        <v>2129</v>
      </c>
      <c r="T403" s="1409" t="s">
        <v>2129</v>
      </c>
      <c r="U403" s="1409" t="s">
        <v>2129</v>
      </c>
      <c r="V403" s="1409" t="s">
        <v>2129</v>
      </c>
      <c r="W403" s="1409" t="s">
        <v>2129</v>
      </c>
      <c r="X403" s="1409" t="s">
        <v>2129</v>
      </c>
      <c r="Y403" s="1409" t="s">
        <v>2129</v>
      </c>
      <c r="Z403" s="1409" t="s">
        <v>2129</v>
      </c>
      <c r="AA403" s="1409" t="s">
        <v>2129</v>
      </c>
      <c r="AB403" s="1409" t="s">
        <v>2129</v>
      </c>
      <c r="AC403" s="1409" t="s">
        <v>2129</v>
      </c>
      <c r="AD403" s="1409" t="s">
        <v>2129</v>
      </c>
      <c r="AE403" s="1409" t="s">
        <v>2129</v>
      </c>
      <c r="AF403" s="1409" t="s">
        <v>2129</v>
      </c>
      <c r="AG403" s="1409" t="s">
        <v>2129</v>
      </c>
    </row>
    <row r="404" spans="1:33" ht="15.75" hidden="1" thickBot="1">
      <c r="A404" s="1529"/>
      <c r="B404" s="1533"/>
      <c r="C404" s="1529"/>
      <c r="D404" s="1409" t="s">
        <v>1444</v>
      </c>
      <c r="E404" s="1409" t="s">
        <v>2129</v>
      </c>
      <c r="F404" s="1409" t="s">
        <v>2129</v>
      </c>
      <c r="G404" s="1409" t="s">
        <v>2129</v>
      </c>
      <c r="H404" s="1409" t="s">
        <v>2129</v>
      </c>
      <c r="I404" s="1409" t="s">
        <v>2129</v>
      </c>
      <c r="J404" s="1409" t="s">
        <v>2129</v>
      </c>
      <c r="K404" s="1409" t="s">
        <v>2129</v>
      </c>
      <c r="L404" s="1409" t="s">
        <v>2166</v>
      </c>
      <c r="M404" s="1409">
        <v>796</v>
      </c>
      <c r="N404" s="1409">
        <v>5</v>
      </c>
      <c r="O404" s="1409">
        <v>5</v>
      </c>
      <c r="P404" s="1409"/>
      <c r="Q404" s="1409"/>
      <c r="R404" s="1409"/>
      <c r="S404" s="1409" t="s">
        <v>2129</v>
      </c>
      <c r="T404" s="1409" t="s">
        <v>2129</v>
      </c>
      <c r="U404" s="1409" t="s">
        <v>2129</v>
      </c>
      <c r="V404" s="1409" t="s">
        <v>2129</v>
      </c>
      <c r="W404" s="1409" t="s">
        <v>2129</v>
      </c>
      <c r="X404" s="1409" t="s">
        <v>2129</v>
      </c>
      <c r="Y404" s="1409" t="s">
        <v>2129</v>
      </c>
      <c r="Z404" s="1409" t="s">
        <v>2129</v>
      </c>
      <c r="AA404" s="1409" t="s">
        <v>2129</v>
      </c>
      <c r="AB404" s="1409" t="s">
        <v>2129</v>
      </c>
      <c r="AC404" s="1409" t="s">
        <v>2129</v>
      </c>
      <c r="AD404" s="1409" t="s">
        <v>2129</v>
      </c>
      <c r="AE404" s="1409" t="s">
        <v>2129</v>
      </c>
      <c r="AF404" s="1409" t="s">
        <v>2129</v>
      </c>
      <c r="AG404" s="1409" t="s">
        <v>2129</v>
      </c>
    </row>
    <row r="405" spans="1:33" ht="25.5" hidden="1" customHeight="1">
      <c r="A405" s="1528">
        <v>57</v>
      </c>
      <c r="B405" s="1531">
        <v>1.7224300000000002E+35</v>
      </c>
      <c r="C405" s="1528" t="s">
        <v>1445</v>
      </c>
      <c r="D405" s="1528" t="s">
        <v>1446</v>
      </c>
      <c r="E405" s="1528" t="s">
        <v>1447</v>
      </c>
      <c r="F405" s="1528"/>
      <c r="G405" s="1528">
        <v>37160</v>
      </c>
      <c r="H405" s="1528">
        <v>37160</v>
      </c>
      <c r="I405" s="1528">
        <v>0</v>
      </c>
      <c r="J405" s="1528">
        <v>0</v>
      </c>
      <c r="K405" s="1528">
        <v>0</v>
      </c>
      <c r="L405" s="1528" t="s">
        <v>2129</v>
      </c>
      <c r="M405" s="1528" t="s">
        <v>2129</v>
      </c>
      <c r="N405" s="1528" t="s">
        <v>2129</v>
      </c>
      <c r="O405" s="1528" t="s">
        <v>2129</v>
      </c>
      <c r="P405" s="1528" t="s">
        <v>2129</v>
      </c>
      <c r="Q405" s="1528" t="s">
        <v>2129</v>
      </c>
      <c r="R405" s="1528" t="s">
        <v>2129</v>
      </c>
      <c r="S405" s="1410" t="s">
        <v>2163</v>
      </c>
      <c r="T405" s="1528"/>
      <c r="U405" s="1528"/>
      <c r="V405" s="1528">
        <v>5.2016999999999998</v>
      </c>
      <c r="W405" s="1528">
        <v>7.2016999999999998</v>
      </c>
      <c r="X405" s="1528" t="s">
        <v>2131</v>
      </c>
      <c r="Y405" s="1528" t="s">
        <v>2132</v>
      </c>
      <c r="Z405" s="1528" t="s">
        <v>2132</v>
      </c>
      <c r="AA405" s="1528"/>
      <c r="AB405" s="1528"/>
      <c r="AC405" s="1528"/>
      <c r="AD405" s="1528" t="s">
        <v>2133</v>
      </c>
      <c r="AE405" s="1410" t="s">
        <v>2134</v>
      </c>
      <c r="AF405" s="1528"/>
      <c r="AG405" s="1528"/>
    </row>
    <row r="406" spans="1:33" ht="76.5" hidden="1" thickBot="1">
      <c r="A406" s="1530"/>
      <c r="B406" s="1532"/>
      <c r="C406" s="1530"/>
      <c r="D406" s="1529"/>
      <c r="E406" s="1529"/>
      <c r="F406" s="1529"/>
      <c r="G406" s="1529"/>
      <c r="H406" s="1529"/>
      <c r="I406" s="1529"/>
      <c r="J406" s="1529"/>
      <c r="K406" s="1529"/>
      <c r="L406" s="1529"/>
      <c r="M406" s="1529"/>
      <c r="N406" s="1529"/>
      <c r="O406" s="1529"/>
      <c r="P406" s="1529"/>
      <c r="Q406" s="1529"/>
      <c r="R406" s="1529"/>
      <c r="S406" s="1409" t="s">
        <v>1434</v>
      </c>
      <c r="T406" s="1529"/>
      <c r="U406" s="1529"/>
      <c r="V406" s="1529"/>
      <c r="W406" s="1529"/>
      <c r="X406" s="1529"/>
      <c r="Y406" s="1529"/>
      <c r="Z406" s="1529"/>
      <c r="AA406" s="1529"/>
      <c r="AB406" s="1529"/>
      <c r="AC406" s="1529"/>
      <c r="AD406" s="1529"/>
      <c r="AE406" s="1409" t="s">
        <v>2136</v>
      </c>
      <c r="AF406" s="1529"/>
      <c r="AG406" s="1529"/>
    </row>
    <row r="407" spans="1:33" ht="15.75" hidden="1" thickBot="1">
      <c r="A407" s="1530"/>
      <c r="B407" s="1532"/>
      <c r="C407" s="1530"/>
      <c r="D407" s="1409" t="s">
        <v>1448</v>
      </c>
      <c r="E407" s="1409" t="s">
        <v>2129</v>
      </c>
      <c r="F407" s="1409" t="s">
        <v>2129</v>
      </c>
      <c r="G407" s="1409" t="s">
        <v>2129</v>
      </c>
      <c r="H407" s="1409" t="s">
        <v>2129</v>
      </c>
      <c r="I407" s="1409" t="s">
        <v>2129</v>
      </c>
      <c r="J407" s="1409" t="s">
        <v>2129</v>
      </c>
      <c r="K407" s="1409" t="s">
        <v>2129</v>
      </c>
      <c r="L407" s="1409" t="s">
        <v>2286</v>
      </c>
      <c r="M407" s="1409">
        <v>166</v>
      </c>
      <c r="N407" s="1409">
        <v>5</v>
      </c>
      <c r="O407" s="1409">
        <v>5</v>
      </c>
      <c r="P407" s="1409"/>
      <c r="Q407" s="1409"/>
      <c r="R407" s="1409"/>
      <c r="S407" s="1409" t="s">
        <v>2129</v>
      </c>
      <c r="T407" s="1409" t="s">
        <v>2129</v>
      </c>
      <c r="U407" s="1409" t="s">
        <v>2129</v>
      </c>
      <c r="V407" s="1409" t="s">
        <v>2129</v>
      </c>
      <c r="W407" s="1409" t="s">
        <v>2129</v>
      </c>
      <c r="X407" s="1409" t="s">
        <v>2129</v>
      </c>
      <c r="Y407" s="1409" t="s">
        <v>2129</v>
      </c>
      <c r="Z407" s="1409" t="s">
        <v>2129</v>
      </c>
      <c r="AA407" s="1409" t="s">
        <v>2129</v>
      </c>
      <c r="AB407" s="1409" t="s">
        <v>2129</v>
      </c>
      <c r="AC407" s="1409" t="s">
        <v>2129</v>
      </c>
      <c r="AD407" s="1409" t="s">
        <v>2129</v>
      </c>
      <c r="AE407" s="1409" t="s">
        <v>2129</v>
      </c>
      <c r="AF407" s="1409" t="s">
        <v>2129</v>
      </c>
      <c r="AG407" s="1409" t="s">
        <v>2129</v>
      </c>
    </row>
    <row r="408" spans="1:33" ht="15.75" hidden="1" thickBot="1">
      <c r="A408" s="1530"/>
      <c r="B408" s="1532"/>
      <c r="C408" s="1530"/>
      <c r="D408" s="1410" t="s">
        <v>1449</v>
      </c>
      <c r="E408" s="1528" t="s">
        <v>2129</v>
      </c>
      <c r="F408" s="1528" t="s">
        <v>2129</v>
      </c>
      <c r="G408" s="1528" t="s">
        <v>2129</v>
      </c>
      <c r="H408" s="1528" t="s">
        <v>2129</v>
      </c>
      <c r="I408" s="1528" t="s">
        <v>2129</v>
      </c>
      <c r="J408" s="1528" t="s">
        <v>2129</v>
      </c>
      <c r="K408" s="1528" t="s">
        <v>2129</v>
      </c>
      <c r="L408" s="1528" t="s">
        <v>2172</v>
      </c>
      <c r="M408" s="1528">
        <v>55</v>
      </c>
      <c r="N408" s="1528">
        <v>20</v>
      </c>
      <c r="O408" s="1528">
        <v>20</v>
      </c>
      <c r="P408" s="1528"/>
      <c r="Q408" s="1528"/>
      <c r="R408" s="1528"/>
      <c r="S408" s="1528" t="s">
        <v>2129</v>
      </c>
      <c r="T408" s="1528" t="s">
        <v>2129</v>
      </c>
      <c r="U408" s="1528" t="s">
        <v>2129</v>
      </c>
      <c r="V408" s="1528" t="s">
        <v>2129</v>
      </c>
      <c r="W408" s="1528" t="s">
        <v>2129</v>
      </c>
      <c r="X408" s="1528" t="s">
        <v>2129</v>
      </c>
      <c r="Y408" s="1528" t="s">
        <v>2129</v>
      </c>
      <c r="Z408" s="1528" t="s">
        <v>2129</v>
      </c>
      <c r="AA408" s="1528" t="s">
        <v>2129</v>
      </c>
      <c r="AB408" s="1528" t="s">
        <v>2129</v>
      </c>
      <c r="AC408" s="1528" t="s">
        <v>2129</v>
      </c>
      <c r="AD408" s="1528" t="s">
        <v>2129</v>
      </c>
      <c r="AE408" s="1528" t="s">
        <v>2129</v>
      </c>
      <c r="AF408" s="1528" t="s">
        <v>2129</v>
      </c>
      <c r="AG408" s="1528" t="s">
        <v>2129</v>
      </c>
    </row>
    <row r="409" spans="1:33" ht="60" hidden="1" thickBot="1">
      <c r="A409" s="1530"/>
      <c r="B409" s="1532"/>
      <c r="C409" s="1530"/>
      <c r="D409" s="1409" t="s">
        <v>1450</v>
      </c>
      <c r="E409" s="1529"/>
      <c r="F409" s="1529"/>
      <c r="G409" s="1529"/>
      <c r="H409" s="1529"/>
      <c r="I409" s="1529"/>
      <c r="J409" s="1529"/>
      <c r="K409" s="1529"/>
      <c r="L409" s="1529"/>
      <c r="M409" s="1529"/>
      <c r="N409" s="1529"/>
      <c r="O409" s="1529"/>
      <c r="P409" s="1529"/>
      <c r="Q409" s="1529"/>
      <c r="R409" s="1529"/>
      <c r="S409" s="1529"/>
      <c r="T409" s="1529"/>
      <c r="U409" s="1529"/>
      <c r="V409" s="1529"/>
      <c r="W409" s="1529"/>
      <c r="X409" s="1529"/>
      <c r="Y409" s="1529"/>
      <c r="Z409" s="1529"/>
      <c r="AA409" s="1529"/>
      <c r="AB409" s="1529"/>
      <c r="AC409" s="1529"/>
      <c r="AD409" s="1529"/>
      <c r="AE409" s="1529"/>
      <c r="AF409" s="1529"/>
      <c r="AG409" s="1529"/>
    </row>
    <row r="410" spans="1:33" ht="15.75" hidden="1" thickBot="1">
      <c r="A410" s="1530"/>
      <c r="B410" s="1532"/>
      <c r="C410" s="1530"/>
      <c r="D410" s="1409" t="s">
        <v>1451</v>
      </c>
      <c r="E410" s="1409" t="s">
        <v>2129</v>
      </c>
      <c r="F410" s="1409" t="s">
        <v>2129</v>
      </c>
      <c r="G410" s="1409" t="s">
        <v>2129</v>
      </c>
      <c r="H410" s="1409" t="s">
        <v>2129</v>
      </c>
      <c r="I410" s="1409" t="s">
        <v>2129</v>
      </c>
      <c r="J410" s="1409" t="s">
        <v>2129</v>
      </c>
      <c r="K410" s="1409" t="s">
        <v>2129</v>
      </c>
      <c r="L410" s="1409" t="s">
        <v>2286</v>
      </c>
      <c r="M410" s="1409">
        <v>166</v>
      </c>
      <c r="N410" s="1409">
        <v>20</v>
      </c>
      <c r="O410" s="1409">
        <v>20</v>
      </c>
      <c r="P410" s="1409"/>
      <c r="Q410" s="1409"/>
      <c r="R410" s="1409"/>
      <c r="S410" s="1409" t="s">
        <v>2129</v>
      </c>
      <c r="T410" s="1409" t="s">
        <v>2129</v>
      </c>
      <c r="U410" s="1409" t="s">
        <v>2129</v>
      </c>
      <c r="V410" s="1409" t="s">
        <v>2129</v>
      </c>
      <c r="W410" s="1409" t="s">
        <v>2129</v>
      </c>
      <c r="X410" s="1409" t="s">
        <v>2129</v>
      </c>
      <c r="Y410" s="1409" t="s">
        <v>2129</v>
      </c>
      <c r="Z410" s="1409" t="s">
        <v>2129</v>
      </c>
      <c r="AA410" s="1409" t="s">
        <v>2129</v>
      </c>
      <c r="AB410" s="1409" t="s">
        <v>2129</v>
      </c>
      <c r="AC410" s="1409" t="s">
        <v>2129</v>
      </c>
      <c r="AD410" s="1409" t="s">
        <v>2129</v>
      </c>
      <c r="AE410" s="1409" t="s">
        <v>2129</v>
      </c>
      <c r="AF410" s="1409" t="s">
        <v>2129</v>
      </c>
      <c r="AG410" s="1409" t="s">
        <v>2129</v>
      </c>
    </row>
    <row r="411" spans="1:33" ht="15.75" hidden="1" thickBot="1">
      <c r="A411" s="1530"/>
      <c r="B411" s="1532"/>
      <c r="C411" s="1530"/>
      <c r="D411" s="1409" t="s">
        <v>1452</v>
      </c>
      <c r="E411" s="1409" t="s">
        <v>2129</v>
      </c>
      <c r="F411" s="1409" t="s">
        <v>2129</v>
      </c>
      <c r="G411" s="1409" t="s">
        <v>2129</v>
      </c>
      <c r="H411" s="1409" t="s">
        <v>2129</v>
      </c>
      <c r="I411" s="1409" t="s">
        <v>2129</v>
      </c>
      <c r="J411" s="1409" t="s">
        <v>2129</v>
      </c>
      <c r="K411" s="1409" t="s">
        <v>2129</v>
      </c>
      <c r="L411" s="1409" t="s">
        <v>2286</v>
      </c>
      <c r="M411" s="1409">
        <v>166</v>
      </c>
      <c r="N411" s="1409">
        <v>40</v>
      </c>
      <c r="O411" s="1409">
        <v>40</v>
      </c>
      <c r="P411" s="1409"/>
      <c r="Q411" s="1409"/>
      <c r="R411" s="1409"/>
      <c r="S411" s="1409" t="s">
        <v>2129</v>
      </c>
      <c r="T411" s="1409" t="s">
        <v>2129</v>
      </c>
      <c r="U411" s="1409" t="s">
        <v>2129</v>
      </c>
      <c r="V411" s="1409" t="s">
        <v>2129</v>
      </c>
      <c r="W411" s="1409" t="s">
        <v>2129</v>
      </c>
      <c r="X411" s="1409" t="s">
        <v>2129</v>
      </c>
      <c r="Y411" s="1409" t="s">
        <v>2129</v>
      </c>
      <c r="Z411" s="1409" t="s">
        <v>2129</v>
      </c>
      <c r="AA411" s="1409" t="s">
        <v>2129</v>
      </c>
      <c r="AB411" s="1409" t="s">
        <v>2129</v>
      </c>
      <c r="AC411" s="1409" t="s">
        <v>2129</v>
      </c>
      <c r="AD411" s="1409" t="s">
        <v>2129</v>
      </c>
      <c r="AE411" s="1409" t="s">
        <v>2129</v>
      </c>
      <c r="AF411" s="1409" t="s">
        <v>2129</v>
      </c>
      <c r="AG411" s="1409" t="s">
        <v>2129</v>
      </c>
    </row>
    <row r="412" spans="1:33" ht="18.75" hidden="1" thickBot="1">
      <c r="A412" s="1530"/>
      <c r="B412" s="1532"/>
      <c r="C412" s="1530"/>
      <c r="D412" s="1409" t="s">
        <v>1453</v>
      </c>
      <c r="E412" s="1409" t="s">
        <v>2129</v>
      </c>
      <c r="F412" s="1409" t="s">
        <v>2129</v>
      </c>
      <c r="G412" s="1409" t="s">
        <v>2129</v>
      </c>
      <c r="H412" s="1409" t="s">
        <v>2129</v>
      </c>
      <c r="I412" s="1409" t="s">
        <v>2129</v>
      </c>
      <c r="J412" s="1409" t="s">
        <v>2129</v>
      </c>
      <c r="K412" s="1409" t="s">
        <v>2129</v>
      </c>
      <c r="L412" s="1409" t="s">
        <v>2286</v>
      </c>
      <c r="M412" s="1409">
        <v>166</v>
      </c>
      <c r="N412" s="1409">
        <v>80</v>
      </c>
      <c r="O412" s="1409">
        <v>80</v>
      </c>
      <c r="P412" s="1409"/>
      <c r="Q412" s="1409"/>
      <c r="R412" s="1409"/>
      <c r="S412" s="1409" t="s">
        <v>2129</v>
      </c>
      <c r="T412" s="1409" t="s">
        <v>2129</v>
      </c>
      <c r="U412" s="1409" t="s">
        <v>2129</v>
      </c>
      <c r="V412" s="1409" t="s">
        <v>2129</v>
      </c>
      <c r="W412" s="1409" t="s">
        <v>2129</v>
      </c>
      <c r="X412" s="1409" t="s">
        <v>2129</v>
      </c>
      <c r="Y412" s="1409" t="s">
        <v>2129</v>
      </c>
      <c r="Z412" s="1409" t="s">
        <v>2129</v>
      </c>
      <c r="AA412" s="1409" t="s">
        <v>2129</v>
      </c>
      <c r="AB412" s="1409" t="s">
        <v>2129</v>
      </c>
      <c r="AC412" s="1409" t="s">
        <v>2129</v>
      </c>
      <c r="AD412" s="1409" t="s">
        <v>2129</v>
      </c>
      <c r="AE412" s="1409" t="s">
        <v>2129</v>
      </c>
      <c r="AF412" s="1409" t="s">
        <v>2129</v>
      </c>
      <c r="AG412" s="1409" t="s">
        <v>2129</v>
      </c>
    </row>
    <row r="413" spans="1:33" ht="15.75" hidden="1" thickBot="1">
      <c r="A413" s="1529"/>
      <c r="B413" s="1533"/>
      <c r="C413" s="1529"/>
      <c r="D413" s="1409" t="s">
        <v>1454</v>
      </c>
      <c r="E413" s="1409" t="s">
        <v>2129</v>
      </c>
      <c r="F413" s="1409" t="s">
        <v>2129</v>
      </c>
      <c r="G413" s="1409" t="s">
        <v>2129</v>
      </c>
      <c r="H413" s="1409" t="s">
        <v>2129</v>
      </c>
      <c r="I413" s="1409" t="s">
        <v>2129</v>
      </c>
      <c r="J413" s="1409" t="s">
        <v>2129</v>
      </c>
      <c r="K413" s="1409" t="s">
        <v>2129</v>
      </c>
      <c r="L413" s="1409" t="s">
        <v>2286</v>
      </c>
      <c r="M413" s="1409">
        <v>166</v>
      </c>
      <c r="N413" s="1409">
        <v>40</v>
      </c>
      <c r="O413" s="1409">
        <v>40</v>
      </c>
      <c r="P413" s="1409"/>
      <c r="Q413" s="1409"/>
      <c r="R413" s="1409"/>
      <c r="S413" s="1409" t="s">
        <v>2129</v>
      </c>
      <c r="T413" s="1409" t="s">
        <v>2129</v>
      </c>
      <c r="U413" s="1409" t="s">
        <v>2129</v>
      </c>
      <c r="V413" s="1409" t="s">
        <v>2129</v>
      </c>
      <c r="W413" s="1409" t="s">
        <v>2129</v>
      </c>
      <c r="X413" s="1409" t="s">
        <v>2129</v>
      </c>
      <c r="Y413" s="1409" t="s">
        <v>2129</v>
      </c>
      <c r="Z413" s="1409" t="s">
        <v>2129</v>
      </c>
      <c r="AA413" s="1409" t="s">
        <v>2129</v>
      </c>
      <c r="AB413" s="1409" t="s">
        <v>2129</v>
      </c>
      <c r="AC413" s="1409" t="s">
        <v>2129</v>
      </c>
      <c r="AD413" s="1409" t="s">
        <v>2129</v>
      </c>
      <c r="AE413" s="1409" t="s">
        <v>2129</v>
      </c>
      <c r="AF413" s="1409" t="s">
        <v>2129</v>
      </c>
      <c r="AG413" s="1409" t="s">
        <v>2129</v>
      </c>
    </row>
    <row r="414" spans="1:33" ht="25.5" hidden="1" customHeight="1">
      <c r="A414" s="1528">
        <v>58</v>
      </c>
      <c r="B414" s="1531">
        <v>1.7224300000000002E+35</v>
      </c>
      <c r="C414" s="1528" t="s">
        <v>1455</v>
      </c>
      <c r="D414" s="1528" t="s">
        <v>1456</v>
      </c>
      <c r="E414" s="1528">
        <v>6020</v>
      </c>
      <c r="F414" s="1528"/>
      <c r="G414" s="1528">
        <v>6020</v>
      </c>
      <c r="H414" s="1528">
        <v>6020</v>
      </c>
      <c r="I414" s="1528">
        <v>0</v>
      </c>
      <c r="J414" s="1528">
        <v>0</v>
      </c>
      <c r="K414" s="1528">
        <v>0</v>
      </c>
      <c r="L414" s="1528" t="s">
        <v>2129</v>
      </c>
      <c r="M414" s="1528" t="s">
        <v>2129</v>
      </c>
      <c r="N414" s="1528" t="s">
        <v>2129</v>
      </c>
      <c r="O414" s="1528" t="s">
        <v>2129</v>
      </c>
      <c r="P414" s="1528" t="s">
        <v>2129</v>
      </c>
      <c r="Q414" s="1528" t="s">
        <v>2129</v>
      </c>
      <c r="R414" s="1528" t="s">
        <v>2129</v>
      </c>
      <c r="S414" s="1410" t="s">
        <v>2163</v>
      </c>
      <c r="T414" s="1528"/>
      <c r="U414" s="1528"/>
      <c r="V414" s="1528">
        <v>9.2017000000000007</v>
      </c>
      <c r="W414" s="1528">
        <v>12.201700000000001</v>
      </c>
      <c r="X414" s="1528" t="s">
        <v>2131</v>
      </c>
      <c r="Y414" s="1528" t="s">
        <v>2132</v>
      </c>
      <c r="Z414" s="1528" t="s">
        <v>2132</v>
      </c>
      <c r="AA414" s="1528"/>
      <c r="AB414" s="1528"/>
      <c r="AC414" s="1528"/>
      <c r="AD414" s="1528" t="s">
        <v>2133</v>
      </c>
      <c r="AE414" s="1410" t="s">
        <v>2134</v>
      </c>
      <c r="AF414" s="1528"/>
      <c r="AG414" s="1528"/>
    </row>
    <row r="415" spans="1:33" ht="93" hidden="1" thickBot="1">
      <c r="A415" s="1530"/>
      <c r="B415" s="1532"/>
      <c r="C415" s="1530"/>
      <c r="D415" s="1529"/>
      <c r="E415" s="1529"/>
      <c r="F415" s="1529"/>
      <c r="G415" s="1529"/>
      <c r="H415" s="1529"/>
      <c r="I415" s="1529"/>
      <c r="J415" s="1529"/>
      <c r="K415" s="1529"/>
      <c r="L415" s="1529"/>
      <c r="M415" s="1529"/>
      <c r="N415" s="1529"/>
      <c r="O415" s="1529"/>
      <c r="P415" s="1529"/>
      <c r="Q415" s="1529"/>
      <c r="R415" s="1529"/>
      <c r="S415" s="1409" t="s">
        <v>2199</v>
      </c>
      <c r="T415" s="1529"/>
      <c r="U415" s="1529"/>
      <c r="V415" s="1529"/>
      <c r="W415" s="1529"/>
      <c r="X415" s="1529"/>
      <c r="Y415" s="1529"/>
      <c r="Z415" s="1529"/>
      <c r="AA415" s="1529"/>
      <c r="AB415" s="1529"/>
      <c r="AC415" s="1529"/>
      <c r="AD415" s="1529"/>
      <c r="AE415" s="1409" t="s">
        <v>2136</v>
      </c>
      <c r="AF415" s="1529"/>
      <c r="AG415" s="1529"/>
    </row>
    <row r="416" spans="1:33" ht="15.75" hidden="1" thickBot="1">
      <c r="A416" s="1529"/>
      <c r="B416" s="1533"/>
      <c r="C416" s="1529"/>
      <c r="D416" s="1409" t="s">
        <v>1457</v>
      </c>
      <c r="E416" s="1409" t="s">
        <v>2129</v>
      </c>
      <c r="F416" s="1409" t="s">
        <v>2129</v>
      </c>
      <c r="G416" s="1409" t="s">
        <v>2129</v>
      </c>
      <c r="H416" s="1409" t="s">
        <v>2129</v>
      </c>
      <c r="I416" s="1409" t="s">
        <v>2129</v>
      </c>
      <c r="J416" s="1409" t="s">
        <v>2129</v>
      </c>
      <c r="K416" s="1409" t="s">
        <v>2129</v>
      </c>
      <c r="L416" s="1409" t="s">
        <v>2166</v>
      </c>
      <c r="M416" s="1409">
        <v>796</v>
      </c>
      <c r="N416" s="1409">
        <v>10</v>
      </c>
      <c r="O416" s="1409">
        <v>10</v>
      </c>
      <c r="P416" s="1409"/>
      <c r="Q416" s="1409"/>
      <c r="R416" s="1409"/>
      <c r="S416" s="1409" t="s">
        <v>2129</v>
      </c>
      <c r="T416" s="1409" t="s">
        <v>2129</v>
      </c>
      <c r="U416" s="1409" t="s">
        <v>2129</v>
      </c>
      <c r="V416" s="1409" t="s">
        <v>2129</v>
      </c>
      <c r="W416" s="1409" t="s">
        <v>2129</v>
      </c>
      <c r="X416" s="1409" t="s">
        <v>2129</v>
      </c>
      <c r="Y416" s="1409" t="s">
        <v>2129</v>
      </c>
      <c r="Z416" s="1409" t="s">
        <v>2129</v>
      </c>
      <c r="AA416" s="1409" t="s">
        <v>2129</v>
      </c>
      <c r="AB416" s="1409" t="s">
        <v>2129</v>
      </c>
      <c r="AC416" s="1409" t="s">
        <v>2129</v>
      </c>
      <c r="AD416" s="1409" t="s">
        <v>2129</v>
      </c>
      <c r="AE416" s="1409" t="s">
        <v>2129</v>
      </c>
      <c r="AF416" s="1409" t="s">
        <v>2129</v>
      </c>
      <c r="AG416" s="1409" t="s">
        <v>2129</v>
      </c>
    </row>
    <row r="417" spans="1:33" ht="25.5" hidden="1" customHeight="1">
      <c r="A417" s="1528">
        <v>59</v>
      </c>
      <c r="B417" s="1531">
        <v>1.7224300000000002E+35</v>
      </c>
      <c r="C417" s="1528" t="s">
        <v>1458</v>
      </c>
      <c r="D417" s="1528" t="s">
        <v>1459</v>
      </c>
      <c r="E417" s="1528">
        <v>21795.02</v>
      </c>
      <c r="F417" s="1528"/>
      <c r="G417" s="1528">
        <v>21795.02</v>
      </c>
      <c r="H417" s="1528">
        <v>21795.02</v>
      </c>
      <c r="I417" s="1528">
        <v>0</v>
      </c>
      <c r="J417" s="1528">
        <v>0</v>
      </c>
      <c r="K417" s="1528">
        <v>0</v>
      </c>
      <c r="L417" s="1528" t="s">
        <v>2129</v>
      </c>
      <c r="M417" s="1528" t="s">
        <v>2129</v>
      </c>
      <c r="N417" s="1528" t="s">
        <v>2129</v>
      </c>
      <c r="O417" s="1528" t="s">
        <v>2129</v>
      </c>
      <c r="P417" s="1528" t="s">
        <v>2129</v>
      </c>
      <c r="Q417" s="1528" t="s">
        <v>2129</v>
      </c>
      <c r="R417" s="1528" t="s">
        <v>2129</v>
      </c>
      <c r="S417" s="1410" t="s">
        <v>2163</v>
      </c>
      <c r="T417" s="1528"/>
      <c r="U417" s="1528"/>
      <c r="V417" s="1528">
        <v>5.2016999999999998</v>
      </c>
      <c r="W417" s="1528">
        <v>12.201700000000001</v>
      </c>
      <c r="X417" s="1528" t="s">
        <v>2131</v>
      </c>
      <c r="Y417" s="1528" t="s">
        <v>2132</v>
      </c>
      <c r="Z417" s="1528" t="s">
        <v>2132</v>
      </c>
      <c r="AA417" s="1528"/>
      <c r="AB417" s="1528"/>
      <c r="AC417" s="1528"/>
      <c r="AD417" s="1528" t="s">
        <v>2133</v>
      </c>
      <c r="AE417" s="1410" t="s">
        <v>2134</v>
      </c>
      <c r="AF417" s="1528"/>
      <c r="AG417" s="1528"/>
    </row>
    <row r="418" spans="1:33" ht="76.5" hidden="1" thickBot="1">
      <c r="A418" s="1530"/>
      <c r="B418" s="1532"/>
      <c r="C418" s="1530"/>
      <c r="D418" s="1529"/>
      <c r="E418" s="1529"/>
      <c r="F418" s="1529"/>
      <c r="G418" s="1529"/>
      <c r="H418" s="1529"/>
      <c r="I418" s="1529"/>
      <c r="J418" s="1529"/>
      <c r="K418" s="1529"/>
      <c r="L418" s="1529"/>
      <c r="M418" s="1529"/>
      <c r="N418" s="1529"/>
      <c r="O418" s="1529"/>
      <c r="P418" s="1529"/>
      <c r="Q418" s="1529"/>
      <c r="R418" s="1529"/>
      <c r="S418" s="1409" t="s">
        <v>1460</v>
      </c>
      <c r="T418" s="1529"/>
      <c r="U418" s="1529"/>
      <c r="V418" s="1529"/>
      <c r="W418" s="1529"/>
      <c r="X418" s="1529"/>
      <c r="Y418" s="1529"/>
      <c r="Z418" s="1529"/>
      <c r="AA418" s="1529"/>
      <c r="AB418" s="1529"/>
      <c r="AC418" s="1529"/>
      <c r="AD418" s="1529"/>
      <c r="AE418" s="1409" t="s">
        <v>2136</v>
      </c>
      <c r="AF418" s="1529"/>
      <c r="AG418" s="1529"/>
    </row>
    <row r="419" spans="1:33" ht="15.75" hidden="1" thickBot="1">
      <c r="A419" s="1530"/>
      <c r="B419" s="1532"/>
      <c r="C419" s="1530"/>
      <c r="D419" s="1410" t="s">
        <v>1461</v>
      </c>
      <c r="E419" s="1528" t="s">
        <v>2129</v>
      </c>
      <c r="F419" s="1528" t="s">
        <v>2129</v>
      </c>
      <c r="G419" s="1528" t="s">
        <v>2129</v>
      </c>
      <c r="H419" s="1528" t="s">
        <v>2129</v>
      </c>
      <c r="I419" s="1528" t="s">
        <v>2129</v>
      </c>
      <c r="J419" s="1528" t="s">
        <v>2129</v>
      </c>
      <c r="K419" s="1528" t="s">
        <v>2129</v>
      </c>
      <c r="L419" s="1528" t="s">
        <v>2166</v>
      </c>
      <c r="M419" s="1528">
        <v>796</v>
      </c>
      <c r="N419" s="1528">
        <v>5</v>
      </c>
      <c r="O419" s="1528">
        <v>5</v>
      </c>
      <c r="P419" s="1528"/>
      <c r="Q419" s="1528"/>
      <c r="R419" s="1528"/>
      <c r="S419" s="1528" t="s">
        <v>2129</v>
      </c>
      <c r="T419" s="1528" t="s">
        <v>2129</v>
      </c>
      <c r="U419" s="1528" t="s">
        <v>2129</v>
      </c>
      <c r="V419" s="1528" t="s">
        <v>2129</v>
      </c>
      <c r="W419" s="1528" t="s">
        <v>2129</v>
      </c>
      <c r="X419" s="1528" t="s">
        <v>2129</v>
      </c>
      <c r="Y419" s="1528" t="s">
        <v>2129</v>
      </c>
      <c r="Z419" s="1528" t="s">
        <v>2129</v>
      </c>
      <c r="AA419" s="1528" t="s">
        <v>2129</v>
      </c>
      <c r="AB419" s="1528" t="s">
        <v>2129</v>
      </c>
      <c r="AC419" s="1528" t="s">
        <v>2129</v>
      </c>
      <c r="AD419" s="1528" t="s">
        <v>2129</v>
      </c>
      <c r="AE419" s="1528" t="s">
        <v>2129</v>
      </c>
      <c r="AF419" s="1528" t="s">
        <v>2129</v>
      </c>
      <c r="AG419" s="1528" t="s">
        <v>2129</v>
      </c>
    </row>
    <row r="420" spans="1:33" ht="60" hidden="1" thickBot="1">
      <c r="A420" s="1530"/>
      <c r="B420" s="1532"/>
      <c r="C420" s="1530"/>
      <c r="D420" s="1409" t="s">
        <v>1462</v>
      </c>
      <c r="E420" s="1529"/>
      <c r="F420" s="1529"/>
      <c r="G420" s="1529"/>
      <c r="H420" s="1529"/>
      <c r="I420" s="1529"/>
      <c r="J420" s="1529"/>
      <c r="K420" s="1529"/>
      <c r="L420" s="1529"/>
      <c r="M420" s="1529"/>
      <c r="N420" s="1529"/>
      <c r="O420" s="1529"/>
      <c r="P420" s="1529"/>
      <c r="Q420" s="1529"/>
      <c r="R420" s="1529"/>
      <c r="S420" s="1529"/>
      <c r="T420" s="1529"/>
      <c r="U420" s="1529"/>
      <c r="V420" s="1529"/>
      <c r="W420" s="1529"/>
      <c r="X420" s="1529"/>
      <c r="Y420" s="1529"/>
      <c r="Z420" s="1529"/>
      <c r="AA420" s="1529"/>
      <c r="AB420" s="1529"/>
      <c r="AC420" s="1529"/>
      <c r="AD420" s="1529"/>
      <c r="AE420" s="1529"/>
      <c r="AF420" s="1529"/>
      <c r="AG420" s="1529"/>
    </row>
    <row r="421" spans="1:33" ht="43.5" hidden="1" thickBot="1">
      <c r="A421" s="1530"/>
      <c r="B421" s="1532"/>
      <c r="C421" s="1530"/>
      <c r="D421" s="1410" t="s">
        <v>1463</v>
      </c>
      <c r="E421" s="1528" t="s">
        <v>2129</v>
      </c>
      <c r="F421" s="1528" t="s">
        <v>2129</v>
      </c>
      <c r="G421" s="1528" t="s">
        <v>2129</v>
      </c>
      <c r="H421" s="1528" t="s">
        <v>2129</v>
      </c>
      <c r="I421" s="1528" t="s">
        <v>2129</v>
      </c>
      <c r="J421" s="1528" t="s">
        <v>2129</v>
      </c>
      <c r="K421" s="1528" t="s">
        <v>2129</v>
      </c>
      <c r="L421" s="1528" t="s">
        <v>2166</v>
      </c>
      <c r="M421" s="1528">
        <v>796</v>
      </c>
      <c r="N421" s="1528">
        <v>50</v>
      </c>
      <c r="O421" s="1528">
        <v>50</v>
      </c>
      <c r="P421" s="1528"/>
      <c r="Q421" s="1528"/>
      <c r="R421" s="1528"/>
      <c r="S421" s="1528" t="s">
        <v>2129</v>
      </c>
      <c r="T421" s="1528" t="s">
        <v>2129</v>
      </c>
      <c r="U421" s="1528" t="s">
        <v>2129</v>
      </c>
      <c r="V421" s="1528" t="s">
        <v>2129</v>
      </c>
      <c r="W421" s="1528" t="s">
        <v>2129</v>
      </c>
      <c r="X421" s="1528" t="s">
        <v>2129</v>
      </c>
      <c r="Y421" s="1528" t="s">
        <v>2129</v>
      </c>
      <c r="Z421" s="1528" t="s">
        <v>2129</v>
      </c>
      <c r="AA421" s="1528" t="s">
        <v>2129</v>
      </c>
      <c r="AB421" s="1528" t="s">
        <v>2129</v>
      </c>
      <c r="AC421" s="1528" t="s">
        <v>2129</v>
      </c>
      <c r="AD421" s="1528" t="s">
        <v>2129</v>
      </c>
      <c r="AE421" s="1528" t="s">
        <v>2129</v>
      </c>
      <c r="AF421" s="1528" t="s">
        <v>2129</v>
      </c>
      <c r="AG421" s="1528" t="s">
        <v>2129</v>
      </c>
    </row>
    <row r="422" spans="1:33" ht="68.25" hidden="1" thickBot="1">
      <c r="A422" s="1530"/>
      <c r="B422" s="1532"/>
      <c r="C422" s="1530"/>
      <c r="D422" s="1409" t="s">
        <v>1464</v>
      </c>
      <c r="E422" s="1529"/>
      <c r="F422" s="1529"/>
      <c r="G422" s="1529"/>
      <c r="H422" s="1529"/>
      <c r="I422" s="1529"/>
      <c r="J422" s="1529"/>
      <c r="K422" s="1529"/>
      <c r="L422" s="1529"/>
      <c r="M422" s="1529"/>
      <c r="N422" s="1529"/>
      <c r="O422" s="1529"/>
      <c r="P422" s="1529"/>
      <c r="Q422" s="1529"/>
      <c r="R422" s="1529"/>
      <c r="S422" s="1529"/>
      <c r="T422" s="1529"/>
      <c r="U422" s="1529"/>
      <c r="V422" s="1529"/>
      <c r="W422" s="1529"/>
      <c r="X422" s="1529"/>
      <c r="Y422" s="1529"/>
      <c r="Z422" s="1529"/>
      <c r="AA422" s="1529"/>
      <c r="AB422" s="1529"/>
      <c r="AC422" s="1529"/>
      <c r="AD422" s="1529"/>
      <c r="AE422" s="1529"/>
      <c r="AF422" s="1529"/>
      <c r="AG422" s="1529"/>
    </row>
    <row r="423" spans="1:33" ht="15.75" hidden="1" thickBot="1">
      <c r="A423" s="1530"/>
      <c r="B423" s="1532"/>
      <c r="C423" s="1530"/>
      <c r="D423" s="1409" t="s">
        <v>1465</v>
      </c>
      <c r="E423" s="1409" t="s">
        <v>2129</v>
      </c>
      <c r="F423" s="1409" t="s">
        <v>2129</v>
      </c>
      <c r="G423" s="1409" t="s">
        <v>2129</v>
      </c>
      <c r="H423" s="1409" t="s">
        <v>2129</v>
      </c>
      <c r="I423" s="1409" t="s">
        <v>2129</v>
      </c>
      <c r="J423" s="1409" t="s">
        <v>2129</v>
      </c>
      <c r="K423" s="1409" t="s">
        <v>2129</v>
      </c>
      <c r="L423" s="1409" t="s">
        <v>2166</v>
      </c>
      <c r="M423" s="1409">
        <v>796</v>
      </c>
      <c r="N423" s="1409">
        <v>15</v>
      </c>
      <c r="O423" s="1409">
        <v>15</v>
      </c>
      <c r="P423" s="1409"/>
      <c r="Q423" s="1409"/>
      <c r="R423" s="1409"/>
      <c r="S423" s="1409" t="s">
        <v>2129</v>
      </c>
      <c r="T423" s="1409" t="s">
        <v>2129</v>
      </c>
      <c r="U423" s="1409" t="s">
        <v>2129</v>
      </c>
      <c r="V423" s="1409" t="s">
        <v>2129</v>
      </c>
      <c r="W423" s="1409" t="s">
        <v>2129</v>
      </c>
      <c r="X423" s="1409" t="s">
        <v>2129</v>
      </c>
      <c r="Y423" s="1409" t="s">
        <v>2129</v>
      </c>
      <c r="Z423" s="1409" t="s">
        <v>2129</v>
      </c>
      <c r="AA423" s="1409" t="s">
        <v>2129</v>
      </c>
      <c r="AB423" s="1409" t="s">
        <v>2129</v>
      </c>
      <c r="AC423" s="1409" t="s">
        <v>2129</v>
      </c>
      <c r="AD423" s="1409" t="s">
        <v>2129</v>
      </c>
      <c r="AE423" s="1409" t="s">
        <v>2129</v>
      </c>
      <c r="AF423" s="1409" t="s">
        <v>2129</v>
      </c>
      <c r="AG423" s="1409" t="s">
        <v>2129</v>
      </c>
    </row>
    <row r="424" spans="1:33" ht="15.75" hidden="1" thickBot="1">
      <c r="A424" s="1530"/>
      <c r="B424" s="1532"/>
      <c r="C424" s="1530"/>
      <c r="D424" s="1410" t="s">
        <v>1466</v>
      </c>
      <c r="E424" s="1528" t="s">
        <v>2129</v>
      </c>
      <c r="F424" s="1528" t="s">
        <v>2129</v>
      </c>
      <c r="G424" s="1528" t="s">
        <v>2129</v>
      </c>
      <c r="H424" s="1528" t="s">
        <v>2129</v>
      </c>
      <c r="I424" s="1528" t="s">
        <v>2129</v>
      </c>
      <c r="J424" s="1528" t="s">
        <v>2129</v>
      </c>
      <c r="K424" s="1528" t="s">
        <v>2129</v>
      </c>
      <c r="L424" s="1528" t="s">
        <v>2166</v>
      </c>
      <c r="M424" s="1528">
        <v>796</v>
      </c>
      <c r="N424" s="1528">
        <v>2</v>
      </c>
      <c r="O424" s="1528">
        <v>2</v>
      </c>
      <c r="P424" s="1528"/>
      <c r="Q424" s="1528"/>
      <c r="R424" s="1528"/>
      <c r="S424" s="1528" t="s">
        <v>2129</v>
      </c>
      <c r="T424" s="1528" t="s">
        <v>2129</v>
      </c>
      <c r="U424" s="1528" t="s">
        <v>2129</v>
      </c>
      <c r="V424" s="1528" t="s">
        <v>2129</v>
      </c>
      <c r="W424" s="1528" t="s">
        <v>2129</v>
      </c>
      <c r="X424" s="1528" t="s">
        <v>2129</v>
      </c>
      <c r="Y424" s="1528" t="s">
        <v>2129</v>
      </c>
      <c r="Z424" s="1528" t="s">
        <v>2129</v>
      </c>
      <c r="AA424" s="1528" t="s">
        <v>2129</v>
      </c>
      <c r="AB424" s="1528" t="s">
        <v>2129</v>
      </c>
      <c r="AC424" s="1528" t="s">
        <v>2129</v>
      </c>
      <c r="AD424" s="1528" t="s">
        <v>2129</v>
      </c>
      <c r="AE424" s="1528" t="s">
        <v>2129</v>
      </c>
      <c r="AF424" s="1528" t="s">
        <v>2129</v>
      </c>
      <c r="AG424" s="1528" t="s">
        <v>2129</v>
      </c>
    </row>
    <row r="425" spans="1:33" ht="60" hidden="1" thickBot="1">
      <c r="A425" s="1530"/>
      <c r="B425" s="1532"/>
      <c r="C425" s="1530"/>
      <c r="D425" s="1409" t="s">
        <v>1467</v>
      </c>
      <c r="E425" s="1529"/>
      <c r="F425" s="1529"/>
      <c r="G425" s="1529"/>
      <c r="H425" s="1529"/>
      <c r="I425" s="1529"/>
      <c r="J425" s="1529"/>
      <c r="K425" s="1529"/>
      <c r="L425" s="1529"/>
      <c r="M425" s="1529"/>
      <c r="N425" s="1529"/>
      <c r="O425" s="1529"/>
      <c r="P425" s="1529"/>
      <c r="Q425" s="1529"/>
      <c r="R425" s="1529"/>
      <c r="S425" s="1529"/>
      <c r="T425" s="1529"/>
      <c r="U425" s="1529"/>
      <c r="V425" s="1529"/>
      <c r="W425" s="1529"/>
      <c r="X425" s="1529"/>
      <c r="Y425" s="1529"/>
      <c r="Z425" s="1529"/>
      <c r="AA425" s="1529"/>
      <c r="AB425" s="1529"/>
      <c r="AC425" s="1529"/>
      <c r="AD425" s="1529"/>
      <c r="AE425" s="1529"/>
      <c r="AF425" s="1529"/>
      <c r="AG425" s="1529"/>
    </row>
    <row r="426" spans="1:33" ht="15.75" hidden="1" thickBot="1">
      <c r="A426" s="1530"/>
      <c r="B426" s="1532"/>
      <c r="C426" s="1530"/>
      <c r="D426" s="1410" t="s">
        <v>1468</v>
      </c>
      <c r="E426" s="1528" t="s">
        <v>2129</v>
      </c>
      <c r="F426" s="1528" t="s">
        <v>2129</v>
      </c>
      <c r="G426" s="1528" t="s">
        <v>2129</v>
      </c>
      <c r="H426" s="1528" t="s">
        <v>2129</v>
      </c>
      <c r="I426" s="1528" t="s">
        <v>2129</v>
      </c>
      <c r="J426" s="1528" t="s">
        <v>2129</v>
      </c>
      <c r="K426" s="1528" t="s">
        <v>2129</v>
      </c>
      <c r="L426" s="1528" t="s">
        <v>2166</v>
      </c>
      <c r="M426" s="1528">
        <v>796</v>
      </c>
      <c r="N426" s="1528">
        <v>11</v>
      </c>
      <c r="O426" s="1528">
        <v>11</v>
      </c>
      <c r="P426" s="1528"/>
      <c r="Q426" s="1528"/>
      <c r="R426" s="1528"/>
      <c r="S426" s="1528" t="s">
        <v>2129</v>
      </c>
      <c r="T426" s="1528" t="s">
        <v>2129</v>
      </c>
      <c r="U426" s="1528" t="s">
        <v>2129</v>
      </c>
      <c r="V426" s="1528" t="s">
        <v>2129</v>
      </c>
      <c r="W426" s="1528" t="s">
        <v>2129</v>
      </c>
      <c r="X426" s="1528" t="s">
        <v>2129</v>
      </c>
      <c r="Y426" s="1528" t="s">
        <v>2129</v>
      </c>
      <c r="Z426" s="1528" t="s">
        <v>2129</v>
      </c>
      <c r="AA426" s="1528" t="s">
        <v>2129</v>
      </c>
      <c r="AB426" s="1528" t="s">
        <v>2129</v>
      </c>
      <c r="AC426" s="1528" t="s">
        <v>2129</v>
      </c>
      <c r="AD426" s="1528" t="s">
        <v>2129</v>
      </c>
      <c r="AE426" s="1528" t="s">
        <v>2129</v>
      </c>
      <c r="AF426" s="1528" t="s">
        <v>2129</v>
      </c>
      <c r="AG426" s="1528" t="s">
        <v>2129</v>
      </c>
    </row>
    <row r="427" spans="1:33" ht="60" hidden="1" thickBot="1">
      <c r="A427" s="1530"/>
      <c r="B427" s="1532"/>
      <c r="C427" s="1530"/>
      <c r="D427" s="1409" t="s">
        <v>1469</v>
      </c>
      <c r="E427" s="1529"/>
      <c r="F427" s="1529"/>
      <c r="G427" s="1529"/>
      <c r="H427" s="1529"/>
      <c r="I427" s="1529"/>
      <c r="J427" s="1529"/>
      <c r="K427" s="1529"/>
      <c r="L427" s="1529"/>
      <c r="M427" s="1529"/>
      <c r="N427" s="1529"/>
      <c r="O427" s="1529"/>
      <c r="P427" s="1529"/>
      <c r="Q427" s="1529"/>
      <c r="R427" s="1529"/>
      <c r="S427" s="1529"/>
      <c r="T427" s="1529"/>
      <c r="U427" s="1529"/>
      <c r="V427" s="1529"/>
      <c r="W427" s="1529"/>
      <c r="X427" s="1529"/>
      <c r="Y427" s="1529"/>
      <c r="Z427" s="1529"/>
      <c r="AA427" s="1529"/>
      <c r="AB427" s="1529"/>
      <c r="AC427" s="1529"/>
      <c r="AD427" s="1529"/>
      <c r="AE427" s="1529"/>
      <c r="AF427" s="1529"/>
      <c r="AG427" s="1529"/>
    </row>
    <row r="428" spans="1:33" ht="15.75" hidden="1" thickBot="1">
      <c r="A428" s="1530"/>
      <c r="B428" s="1532"/>
      <c r="C428" s="1530"/>
      <c r="D428" s="1410" t="s">
        <v>1470</v>
      </c>
      <c r="E428" s="1528" t="s">
        <v>2129</v>
      </c>
      <c r="F428" s="1528" t="s">
        <v>2129</v>
      </c>
      <c r="G428" s="1528" t="s">
        <v>2129</v>
      </c>
      <c r="H428" s="1528" t="s">
        <v>2129</v>
      </c>
      <c r="I428" s="1528" t="s">
        <v>2129</v>
      </c>
      <c r="J428" s="1528" t="s">
        <v>2129</v>
      </c>
      <c r="K428" s="1528" t="s">
        <v>2129</v>
      </c>
      <c r="L428" s="1528" t="s">
        <v>2166</v>
      </c>
      <c r="M428" s="1528">
        <v>796</v>
      </c>
      <c r="N428" s="1528">
        <v>5</v>
      </c>
      <c r="O428" s="1528">
        <v>5</v>
      </c>
      <c r="P428" s="1528"/>
      <c r="Q428" s="1528"/>
      <c r="R428" s="1528"/>
      <c r="S428" s="1528" t="s">
        <v>2129</v>
      </c>
      <c r="T428" s="1528" t="s">
        <v>2129</v>
      </c>
      <c r="U428" s="1528" t="s">
        <v>2129</v>
      </c>
      <c r="V428" s="1528" t="s">
        <v>2129</v>
      </c>
      <c r="W428" s="1528" t="s">
        <v>2129</v>
      </c>
      <c r="X428" s="1528" t="s">
        <v>2129</v>
      </c>
      <c r="Y428" s="1528" t="s">
        <v>2129</v>
      </c>
      <c r="Z428" s="1528" t="s">
        <v>2129</v>
      </c>
      <c r="AA428" s="1528" t="s">
        <v>2129</v>
      </c>
      <c r="AB428" s="1528" t="s">
        <v>2129</v>
      </c>
      <c r="AC428" s="1528" t="s">
        <v>2129</v>
      </c>
      <c r="AD428" s="1528" t="s">
        <v>2129</v>
      </c>
      <c r="AE428" s="1528" t="s">
        <v>2129</v>
      </c>
      <c r="AF428" s="1528" t="s">
        <v>2129</v>
      </c>
      <c r="AG428" s="1528" t="s">
        <v>2129</v>
      </c>
    </row>
    <row r="429" spans="1:33" ht="60" hidden="1" thickBot="1">
      <c r="A429" s="1530"/>
      <c r="B429" s="1532"/>
      <c r="C429" s="1530"/>
      <c r="D429" s="1409" t="s">
        <v>1469</v>
      </c>
      <c r="E429" s="1529"/>
      <c r="F429" s="1529"/>
      <c r="G429" s="1529"/>
      <c r="H429" s="1529"/>
      <c r="I429" s="1529"/>
      <c r="J429" s="1529"/>
      <c r="K429" s="1529"/>
      <c r="L429" s="1529"/>
      <c r="M429" s="1529"/>
      <c r="N429" s="1529"/>
      <c r="O429" s="1529"/>
      <c r="P429" s="1529"/>
      <c r="Q429" s="1529"/>
      <c r="R429" s="1529"/>
      <c r="S429" s="1529"/>
      <c r="T429" s="1529"/>
      <c r="U429" s="1529"/>
      <c r="V429" s="1529"/>
      <c r="W429" s="1529"/>
      <c r="X429" s="1529"/>
      <c r="Y429" s="1529"/>
      <c r="Z429" s="1529"/>
      <c r="AA429" s="1529"/>
      <c r="AB429" s="1529"/>
      <c r="AC429" s="1529"/>
      <c r="AD429" s="1529"/>
      <c r="AE429" s="1529"/>
      <c r="AF429" s="1529"/>
      <c r="AG429" s="1529"/>
    </row>
    <row r="430" spans="1:33" ht="15.75" hidden="1" thickBot="1">
      <c r="A430" s="1530"/>
      <c r="B430" s="1532"/>
      <c r="C430" s="1530"/>
      <c r="D430" s="1410" t="s">
        <v>1471</v>
      </c>
      <c r="E430" s="1528" t="s">
        <v>2129</v>
      </c>
      <c r="F430" s="1528" t="s">
        <v>2129</v>
      </c>
      <c r="G430" s="1528" t="s">
        <v>2129</v>
      </c>
      <c r="H430" s="1528" t="s">
        <v>2129</v>
      </c>
      <c r="I430" s="1528" t="s">
        <v>2129</v>
      </c>
      <c r="J430" s="1528" t="s">
        <v>2129</v>
      </c>
      <c r="K430" s="1528" t="s">
        <v>2129</v>
      </c>
      <c r="L430" s="1528" t="s">
        <v>2166</v>
      </c>
      <c r="M430" s="1528">
        <v>796</v>
      </c>
      <c r="N430" s="1528">
        <v>10</v>
      </c>
      <c r="O430" s="1528">
        <v>10</v>
      </c>
      <c r="P430" s="1528"/>
      <c r="Q430" s="1528"/>
      <c r="R430" s="1528"/>
      <c r="S430" s="1528" t="s">
        <v>2129</v>
      </c>
      <c r="T430" s="1528" t="s">
        <v>2129</v>
      </c>
      <c r="U430" s="1528" t="s">
        <v>2129</v>
      </c>
      <c r="V430" s="1528" t="s">
        <v>2129</v>
      </c>
      <c r="W430" s="1528" t="s">
        <v>2129</v>
      </c>
      <c r="X430" s="1528" t="s">
        <v>2129</v>
      </c>
      <c r="Y430" s="1528" t="s">
        <v>2129</v>
      </c>
      <c r="Z430" s="1528" t="s">
        <v>2129</v>
      </c>
      <c r="AA430" s="1528" t="s">
        <v>2129</v>
      </c>
      <c r="AB430" s="1528" t="s">
        <v>2129</v>
      </c>
      <c r="AC430" s="1528" t="s">
        <v>2129</v>
      </c>
      <c r="AD430" s="1528" t="s">
        <v>2129</v>
      </c>
      <c r="AE430" s="1528" t="s">
        <v>2129</v>
      </c>
      <c r="AF430" s="1528" t="s">
        <v>2129</v>
      </c>
      <c r="AG430" s="1528" t="s">
        <v>2129</v>
      </c>
    </row>
    <row r="431" spans="1:33" ht="60" hidden="1" thickBot="1">
      <c r="A431" s="1530"/>
      <c r="B431" s="1532"/>
      <c r="C431" s="1530"/>
      <c r="D431" s="1409" t="s">
        <v>1469</v>
      </c>
      <c r="E431" s="1529"/>
      <c r="F431" s="1529"/>
      <c r="G431" s="1529"/>
      <c r="H431" s="1529"/>
      <c r="I431" s="1529"/>
      <c r="J431" s="1529"/>
      <c r="K431" s="1529"/>
      <c r="L431" s="1529"/>
      <c r="M431" s="1529"/>
      <c r="N431" s="1529"/>
      <c r="O431" s="1529"/>
      <c r="P431" s="1529"/>
      <c r="Q431" s="1529"/>
      <c r="R431" s="1529"/>
      <c r="S431" s="1529"/>
      <c r="T431" s="1529"/>
      <c r="U431" s="1529"/>
      <c r="V431" s="1529"/>
      <c r="W431" s="1529"/>
      <c r="X431" s="1529"/>
      <c r="Y431" s="1529"/>
      <c r="Z431" s="1529"/>
      <c r="AA431" s="1529"/>
      <c r="AB431" s="1529"/>
      <c r="AC431" s="1529"/>
      <c r="AD431" s="1529"/>
      <c r="AE431" s="1529"/>
      <c r="AF431" s="1529"/>
      <c r="AG431" s="1529"/>
    </row>
    <row r="432" spans="1:33" ht="15.75" hidden="1" thickBot="1">
      <c r="A432" s="1530"/>
      <c r="B432" s="1532"/>
      <c r="C432" s="1530"/>
      <c r="D432" s="1410" t="s">
        <v>1472</v>
      </c>
      <c r="E432" s="1528" t="s">
        <v>2129</v>
      </c>
      <c r="F432" s="1528" t="s">
        <v>2129</v>
      </c>
      <c r="G432" s="1528" t="s">
        <v>2129</v>
      </c>
      <c r="H432" s="1528" t="s">
        <v>2129</v>
      </c>
      <c r="I432" s="1528" t="s">
        <v>2129</v>
      </c>
      <c r="J432" s="1528" t="s">
        <v>2129</v>
      </c>
      <c r="K432" s="1528" t="s">
        <v>2129</v>
      </c>
      <c r="L432" s="1528" t="s">
        <v>2166</v>
      </c>
      <c r="M432" s="1528">
        <v>796</v>
      </c>
      <c r="N432" s="1528">
        <v>21</v>
      </c>
      <c r="O432" s="1528">
        <v>21</v>
      </c>
      <c r="P432" s="1528"/>
      <c r="Q432" s="1528"/>
      <c r="R432" s="1528"/>
      <c r="S432" s="1528" t="s">
        <v>2129</v>
      </c>
      <c r="T432" s="1528" t="s">
        <v>2129</v>
      </c>
      <c r="U432" s="1528" t="s">
        <v>2129</v>
      </c>
      <c r="V432" s="1528" t="s">
        <v>2129</v>
      </c>
      <c r="W432" s="1528" t="s">
        <v>2129</v>
      </c>
      <c r="X432" s="1528" t="s">
        <v>2129</v>
      </c>
      <c r="Y432" s="1528" t="s">
        <v>2129</v>
      </c>
      <c r="Z432" s="1528" t="s">
        <v>2129</v>
      </c>
      <c r="AA432" s="1528" t="s">
        <v>2129</v>
      </c>
      <c r="AB432" s="1528" t="s">
        <v>2129</v>
      </c>
      <c r="AC432" s="1528" t="s">
        <v>2129</v>
      </c>
      <c r="AD432" s="1528" t="s">
        <v>2129</v>
      </c>
      <c r="AE432" s="1528" t="s">
        <v>2129</v>
      </c>
      <c r="AF432" s="1528" t="s">
        <v>2129</v>
      </c>
      <c r="AG432" s="1528" t="s">
        <v>2129</v>
      </c>
    </row>
    <row r="433" spans="1:33" ht="60" hidden="1" thickBot="1">
      <c r="A433" s="1530"/>
      <c r="B433" s="1532"/>
      <c r="C433" s="1530"/>
      <c r="D433" s="1409" t="s">
        <v>1469</v>
      </c>
      <c r="E433" s="1529"/>
      <c r="F433" s="1529"/>
      <c r="G433" s="1529"/>
      <c r="H433" s="1529"/>
      <c r="I433" s="1529"/>
      <c r="J433" s="1529"/>
      <c r="K433" s="1529"/>
      <c r="L433" s="1529"/>
      <c r="M433" s="1529"/>
      <c r="N433" s="1529"/>
      <c r="O433" s="1529"/>
      <c r="P433" s="1529"/>
      <c r="Q433" s="1529"/>
      <c r="R433" s="1529"/>
      <c r="S433" s="1529"/>
      <c r="T433" s="1529"/>
      <c r="U433" s="1529"/>
      <c r="V433" s="1529"/>
      <c r="W433" s="1529"/>
      <c r="X433" s="1529"/>
      <c r="Y433" s="1529"/>
      <c r="Z433" s="1529"/>
      <c r="AA433" s="1529"/>
      <c r="AB433" s="1529"/>
      <c r="AC433" s="1529"/>
      <c r="AD433" s="1529"/>
      <c r="AE433" s="1529"/>
      <c r="AF433" s="1529"/>
      <c r="AG433" s="1529"/>
    </row>
    <row r="434" spans="1:33" ht="15.75" hidden="1" thickBot="1">
      <c r="A434" s="1530"/>
      <c r="B434" s="1532"/>
      <c r="C434" s="1530"/>
      <c r="D434" s="1410" t="s">
        <v>1473</v>
      </c>
      <c r="E434" s="1528" t="s">
        <v>2129</v>
      </c>
      <c r="F434" s="1528" t="s">
        <v>2129</v>
      </c>
      <c r="G434" s="1528" t="s">
        <v>2129</v>
      </c>
      <c r="H434" s="1528" t="s">
        <v>2129</v>
      </c>
      <c r="I434" s="1528" t="s">
        <v>2129</v>
      </c>
      <c r="J434" s="1528" t="s">
        <v>2129</v>
      </c>
      <c r="K434" s="1528" t="s">
        <v>2129</v>
      </c>
      <c r="L434" s="1528" t="s">
        <v>1474</v>
      </c>
      <c r="M434" s="1528">
        <v>778</v>
      </c>
      <c r="N434" s="1528">
        <v>1</v>
      </c>
      <c r="O434" s="1528">
        <v>1</v>
      </c>
      <c r="P434" s="1528"/>
      <c r="Q434" s="1528"/>
      <c r="R434" s="1528"/>
      <c r="S434" s="1528" t="s">
        <v>2129</v>
      </c>
      <c r="T434" s="1528" t="s">
        <v>2129</v>
      </c>
      <c r="U434" s="1528" t="s">
        <v>2129</v>
      </c>
      <c r="V434" s="1528" t="s">
        <v>2129</v>
      </c>
      <c r="W434" s="1528" t="s">
        <v>2129</v>
      </c>
      <c r="X434" s="1528" t="s">
        <v>2129</v>
      </c>
      <c r="Y434" s="1528" t="s">
        <v>2129</v>
      </c>
      <c r="Z434" s="1528" t="s">
        <v>2129</v>
      </c>
      <c r="AA434" s="1528" t="s">
        <v>2129</v>
      </c>
      <c r="AB434" s="1528" t="s">
        <v>2129</v>
      </c>
      <c r="AC434" s="1528" t="s">
        <v>2129</v>
      </c>
      <c r="AD434" s="1528" t="s">
        <v>2129</v>
      </c>
      <c r="AE434" s="1528" t="s">
        <v>2129</v>
      </c>
      <c r="AF434" s="1528" t="s">
        <v>2129</v>
      </c>
      <c r="AG434" s="1528" t="s">
        <v>2129</v>
      </c>
    </row>
    <row r="435" spans="1:33" ht="60" hidden="1" thickBot="1">
      <c r="A435" s="1530"/>
      <c r="B435" s="1532"/>
      <c r="C435" s="1530"/>
      <c r="D435" s="1409" t="s">
        <v>1469</v>
      </c>
      <c r="E435" s="1529"/>
      <c r="F435" s="1529"/>
      <c r="G435" s="1529"/>
      <c r="H435" s="1529"/>
      <c r="I435" s="1529"/>
      <c r="J435" s="1529"/>
      <c r="K435" s="1529"/>
      <c r="L435" s="1529"/>
      <c r="M435" s="1529"/>
      <c r="N435" s="1529"/>
      <c r="O435" s="1529"/>
      <c r="P435" s="1529"/>
      <c r="Q435" s="1529"/>
      <c r="R435" s="1529"/>
      <c r="S435" s="1529"/>
      <c r="T435" s="1529"/>
      <c r="U435" s="1529"/>
      <c r="V435" s="1529"/>
      <c r="W435" s="1529"/>
      <c r="X435" s="1529"/>
      <c r="Y435" s="1529"/>
      <c r="Z435" s="1529"/>
      <c r="AA435" s="1529"/>
      <c r="AB435" s="1529"/>
      <c r="AC435" s="1529"/>
      <c r="AD435" s="1529"/>
      <c r="AE435" s="1529"/>
      <c r="AF435" s="1529"/>
      <c r="AG435" s="1529"/>
    </row>
    <row r="436" spans="1:33" ht="15.75" hidden="1" thickBot="1">
      <c r="A436" s="1530"/>
      <c r="B436" s="1532"/>
      <c r="C436" s="1530"/>
      <c r="D436" s="1409" t="s">
        <v>1475</v>
      </c>
      <c r="E436" s="1409" t="s">
        <v>2129</v>
      </c>
      <c r="F436" s="1409" t="s">
        <v>2129</v>
      </c>
      <c r="G436" s="1409" t="s">
        <v>2129</v>
      </c>
      <c r="H436" s="1409" t="s">
        <v>2129</v>
      </c>
      <c r="I436" s="1409" t="s">
        <v>2129</v>
      </c>
      <c r="J436" s="1409" t="s">
        <v>2129</v>
      </c>
      <c r="K436" s="1409" t="s">
        <v>2129</v>
      </c>
      <c r="L436" s="1409" t="s">
        <v>2166</v>
      </c>
      <c r="M436" s="1409">
        <v>796</v>
      </c>
      <c r="N436" s="1409">
        <v>10</v>
      </c>
      <c r="O436" s="1409">
        <v>10</v>
      </c>
      <c r="P436" s="1409"/>
      <c r="Q436" s="1409"/>
      <c r="R436" s="1409"/>
      <c r="S436" s="1409" t="s">
        <v>2129</v>
      </c>
      <c r="T436" s="1409" t="s">
        <v>2129</v>
      </c>
      <c r="U436" s="1409" t="s">
        <v>2129</v>
      </c>
      <c r="V436" s="1409" t="s">
        <v>2129</v>
      </c>
      <c r="W436" s="1409" t="s">
        <v>2129</v>
      </c>
      <c r="X436" s="1409" t="s">
        <v>2129</v>
      </c>
      <c r="Y436" s="1409" t="s">
        <v>2129</v>
      </c>
      <c r="Z436" s="1409" t="s">
        <v>2129</v>
      </c>
      <c r="AA436" s="1409" t="s">
        <v>2129</v>
      </c>
      <c r="AB436" s="1409" t="s">
        <v>2129</v>
      </c>
      <c r="AC436" s="1409" t="s">
        <v>2129</v>
      </c>
      <c r="AD436" s="1409" t="s">
        <v>2129</v>
      </c>
      <c r="AE436" s="1409" t="s">
        <v>2129</v>
      </c>
      <c r="AF436" s="1409" t="s">
        <v>2129</v>
      </c>
      <c r="AG436" s="1409" t="s">
        <v>2129</v>
      </c>
    </row>
    <row r="437" spans="1:33" ht="18.75" hidden="1" thickBot="1">
      <c r="A437" s="1530"/>
      <c r="B437" s="1532"/>
      <c r="C437" s="1530"/>
      <c r="D437" s="1409" t="s">
        <v>1476</v>
      </c>
      <c r="E437" s="1409" t="s">
        <v>2129</v>
      </c>
      <c r="F437" s="1409" t="s">
        <v>2129</v>
      </c>
      <c r="G437" s="1409" t="s">
        <v>2129</v>
      </c>
      <c r="H437" s="1409" t="s">
        <v>2129</v>
      </c>
      <c r="I437" s="1409" t="s">
        <v>2129</v>
      </c>
      <c r="J437" s="1409" t="s">
        <v>2129</v>
      </c>
      <c r="K437" s="1409" t="s">
        <v>2129</v>
      </c>
      <c r="L437" s="1409" t="s">
        <v>2166</v>
      </c>
      <c r="M437" s="1409">
        <v>796</v>
      </c>
      <c r="N437" s="1409">
        <v>100</v>
      </c>
      <c r="O437" s="1409">
        <v>100</v>
      </c>
      <c r="P437" s="1409"/>
      <c r="Q437" s="1409"/>
      <c r="R437" s="1409"/>
      <c r="S437" s="1409" t="s">
        <v>2129</v>
      </c>
      <c r="T437" s="1409" t="s">
        <v>2129</v>
      </c>
      <c r="U437" s="1409" t="s">
        <v>2129</v>
      </c>
      <c r="V437" s="1409" t="s">
        <v>2129</v>
      </c>
      <c r="W437" s="1409" t="s">
        <v>2129</v>
      </c>
      <c r="X437" s="1409" t="s">
        <v>2129</v>
      </c>
      <c r="Y437" s="1409" t="s">
        <v>2129</v>
      </c>
      <c r="Z437" s="1409" t="s">
        <v>2129</v>
      </c>
      <c r="AA437" s="1409" t="s">
        <v>2129</v>
      </c>
      <c r="AB437" s="1409" t="s">
        <v>2129</v>
      </c>
      <c r="AC437" s="1409" t="s">
        <v>2129</v>
      </c>
      <c r="AD437" s="1409" t="s">
        <v>2129</v>
      </c>
      <c r="AE437" s="1409" t="s">
        <v>2129</v>
      </c>
      <c r="AF437" s="1409" t="s">
        <v>2129</v>
      </c>
      <c r="AG437" s="1409" t="s">
        <v>2129</v>
      </c>
    </row>
    <row r="438" spans="1:33" ht="15.75" hidden="1" thickBot="1">
      <c r="A438" s="1530"/>
      <c r="B438" s="1532"/>
      <c r="C438" s="1530"/>
      <c r="D438" s="1409" t="s">
        <v>1477</v>
      </c>
      <c r="E438" s="1409" t="s">
        <v>2129</v>
      </c>
      <c r="F438" s="1409" t="s">
        <v>2129</v>
      </c>
      <c r="G438" s="1409" t="s">
        <v>2129</v>
      </c>
      <c r="H438" s="1409" t="s">
        <v>2129</v>
      </c>
      <c r="I438" s="1409" t="s">
        <v>2129</v>
      </c>
      <c r="J438" s="1409" t="s">
        <v>2129</v>
      </c>
      <c r="K438" s="1409" t="s">
        <v>2129</v>
      </c>
      <c r="L438" s="1409" t="s">
        <v>2166</v>
      </c>
      <c r="M438" s="1409">
        <v>796</v>
      </c>
      <c r="N438" s="1409">
        <v>30</v>
      </c>
      <c r="O438" s="1409">
        <v>30</v>
      </c>
      <c r="P438" s="1409"/>
      <c r="Q438" s="1409"/>
      <c r="R438" s="1409"/>
      <c r="S438" s="1409" t="s">
        <v>2129</v>
      </c>
      <c r="T438" s="1409" t="s">
        <v>2129</v>
      </c>
      <c r="U438" s="1409" t="s">
        <v>2129</v>
      </c>
      <c r="V438" s="1409" t="s">
        <v>2129</v>
      </c>
      <c r="W438" s="1409" t="s">
        <v>2129</v>
      </c>
      <c r="X438" s="1409" t="s">
        <v>2129</v>
      </c>
      <c r="Y438" s="1409" t="s">
        <v>2129</v>
      </c>
      <c r="Z438" s="1409" t="s">
        <v>2129</v>
      </c>
      <c r="AA438" s="1409" t="s">
        <v>2129</v>
      </c>
      <c r="AB438" s="1409" t="s">
        <v>2129</v>
      </c>
      <c r="AC438" s="1409" t="s">
        <v>2129</v>
      </c>
      <c r="AD438" s="1409" t="s">
        <v>2129</v>
      </c>
      <c r="AE438" s="1409" t="s">
        <v>2129</v>
      </c>
      <c r="AF438" s="1409" t="s">
        <v>2129</v>
      </c>
      <c r="AG438" s="1409" t="s">
        <v>2129</v>
      </c>
    </row>
    <row r="439" spans="1:33" ht="15.75" hidden="1" thickBot="1">
      <c r="A439" s="1530"/>
      <c r="B439" s="1532"/>
      <c r="C439" s="1530"/>
      <c r="D439" s="1409" t="s">
        <v>1478</v>
      </c>
      <c r="E439" s="1409" t="s">
        <v>2129</v>
      </c>
      <c r="F439" s="1409" t="s">
        <v>2129</v>
      </c>
      <c r="G439" s="1409" t="s">
        <v>2129</v>
      </c>
      <c r="H439" s="1409" t="s">
        <v>2129</v>
      </c>
      <c r="I439" s="1409" t="s">
        <v>2129</v>
      </c>
      <c r="J439" s="1409" t="s">
        <v>2129</v>
      </c>
      <c r="K439" s="1409" t="s">
        <v>2129</v>
      </c>
      <c r="L439" s="1409" t="s">
        <v>2166</v>
      </c>
      <c r="M439" s="1409">
        <v>796</v>
      </c>
      <c r="N439" s="1409">
        <v>5</v>
      </c>
      <c r="O439" s="1409">
        <v>5</v>
      </c>
      <c r="P439" s="1409"/>
      <c r="Q439" s="1409"/>
      <c r="R439" s="1409"/>
      <c r="S439" s="1409" t="s">
        <v>2129</v>
      </c>
      <c r="T439" s="1409" t="s">
        <v>2129</v>
      </c>
      <c r="U439" s="1409" t="s">
        <v>2129</v>
      </c>
      <c r="V439" s="1409" t="s">
        <v>2129</v>
      </c>
      <c r="W439" s="1409" t="s">
        <v>2129</v>
      </c>
      <c r="X439" s="1409" t="s">
        <v>2129</v>
      </c>
      <c r="Y439" s="1409" t="s">
        <v>2129</v>
      </c>
      <c r="Z439" s="1409" t="s">
        <v>2129</v>
      </c>
      <c r="AA439" s="1409" t="s">
        <v>2129</v>
      </c>
      <c r="AB439" s="1409" t="s">
        <v>2129</v>
      </c>
      <c r="AC439" s="1409" t="s">
        <v>2129</v>
      </c>
      <c r="AD439" s="1409" t="s">
        <v>2129</v>
      </c>
      <c r="AE439" s="1409" t="s">
        <v>2129</v>
      </c>
      <c r="AF439" s="1409" t="s">
        <v>2129</v>
      </c>
      <c r="AG439" s="1409" t="s">
        <v>2129</v>
      </c>
    </row>
    <row r="440" spans="1:33" ht="15.75" hidden="1" thickBot="1">
      <c r="A440" s="1530"/>
      <c r="B440" s="1532"/>
      <c r="C440" s="1530"/>
      <c r="D440" s="1409" t="s">
        <v>1479</v>
      </c>
      <c r="E440" s="1409" t="s">
        <v>2129</v>
      </c>
      <c r="F440" s="1409" t="s">
        <v>2129</v>
      </c>
      <c r="G440" s="1409" t="s">
        <v>2129</v>
      </c>
      <c r="H440" s="1409" t="s">
        <v>2129</v>
      </c>
      <c r="I440" s="1409" t="s">
        <v>2129</v>
      </c>
      <c r="J440" s="1409" t="s">
        <v>2129</v>
      </c>
      <c r="K440" s="1409" t="s">
        <v>2129</v>
      </c>
      <c r="L440" s="1409" t="s">
        <v>2166</v>
      </c>
      <c r="M440" s="1409">
        <v>796</v>
      </c>
      <c r="N440" s="1409">
        <v>10</v>
      </c>
      <c r="O440" s="1409">
        <v>10</v>
      </c>
      <c r="P440" s="1409"/>
      <c r="Q440" s="1409"/>
      <c r="R440" s="1409"/>
      <c r="S440" s="1409" t="s">
        <v>2129</v>
      </c>
      <c r="T440" s="1409" t="s">
        <v>2129</v>
      </c>
      <c r="U440" s="1409" t="s">
        <v>2129</v>
      </c>
      <c r="V440" s="1409" t="s">
        <v>2129</v>
      </c>
      <c r="W440" s="1409" t="s">
        <v>2129</v>
      </c>
      <c r="X440" s="1409" t="s">
        <v>2129</v>
      </c>
      <c r="Y440" s="1409" t="s">
        <v>2129</v>
      </c>
      <c r="Z440" s="1409" t="s">
        <v>2129</v>
      </c>
      <c r="AA440" s="1409" t="s">
        <v>2129</v>
      </c>
      <c r="AB440" s="1409" t="s">
        <v>2129</v>
      </c>
      <c r="AC440" s="1409" t="s">
        <v>2129</v>
      </c>
      <c r="AD440" s="1409" t="s">
        <v>2129</v>
      </c>
      <c r="AE440" s="1409" t="s">
        <v>2129</v>
      </c>
      <c r="AF440" s="1409" t="s">
        <v>2129</v>
      </c>
      <c r="AG440" s="1409" t="s">
        <v>2129</v>
      </c>
    </row>
    <row r="441" spans="1:33" ht="15.75" hidden="1" thickBot="1">
      <c r="A441" s="1530"/>
      <c r="B441" s="1532"/>
      <c r="C441" s="1530"/>
      <c r="D441" s="1410" t="s">
        <v>1480</v>
      </c>
      <c r="E441" s="1528" t="s">
        <v>2129</v>
      </c>
      <c r="F441" s="1528" t="s">
        <v>2129</v>
      </c>
      <c r="G441" s="1528" t="s">
        <v>2129</v>
      </c>
      <c r="H441" s="1528" t="s">
        <v>2129</v>
      </c>
      <c r="I441" s="1528" t="s">
        <v>2129</v>
      </c>
      <c r="J441" s="1528" t="s">
        <v>2129</v>
      </c>
      <c r="K441" s="1528" t="s">
        <v>2129</v>
      </c>
      <c r="L441" s="1528" t="s">
        <v>2166</v>
      </c>
      <c r="M441" s="1528">
        <v>796</v>
      </c>
      <c r="N441" s="1528">
        <v>1</v>
      </c>
      <c r="O441" s="1528">
        <v>1</v>
      </c>
      <c r="P441" s="1528"/>
      <c r="Q441" s="1528"/>
      <c r="R441" s="1528"/>
      <c r="S441" s="1528" t="s">
        <v>2129</v>
      </c>
      <c r="T441" s="1528" t="s">
        <v>2129</v>
      </c>
      <c r="U441" s="1528" t="s">
        <v>2129</v>
      </c>
      <c r="V441" s="1528" t="s">
        <v>2129</v>
      </c>
      <c r="W441" s="1528" t="s">
        <v>2129</v>
      </c>
      <c r="X441" s="1528" t="s">
        <v>2129</v>
      </c>
      <c r="Y441" s="1528" t="s">
        <v>2129</v>
      </c>
      <c r="Z441" s="1528" t="s">
        <v>2129</v>
      </c>
      <c r="AA441" s="1528" t="s">
        <v>2129</v>
      </c>
      <c r="AB441" s="1528" t="s">
        <v>2129</v>
      </c>
      <c r="AC441" s="1528" t="s">
        <v>2129</v>
      </c>
      <c r="AD441" s="1528" t="s">
        <v>2129</v>
      </c>
      <c r="AE441" s="1528" t="s">
        <v>2129</v>
      </c>
      <c r="AF441" s="1528" t="s">
        <v>2129</v>
      </c>
      <c r="AG441" s="1528" t="s">
        <v>2129</v>
      </c>
    </row>
    <row r="442" spans="1:33" ht="60" hidden="1" thickBot="1">
      <c r="A442" s="1530"/>
      <c r="B442" s="1532"/>
      <c r="C442" s="1530"/>
      <c r="D442" s="1409" t="s">
        <v>1481</v>
      </c>
      <c r="E442" s="1529"/>
      <c r="F442" s="1529"/>
      <c r="G442" s="1529"/>
      <c r="H442" s="1529"/>
      <c r="I442" s="1529"/>
      <c r="J442" s="1529"/>
      <c r="K442" s="1529"/>
      <c r="L442" s="1529"/>
      <c r="M442" s="1529"/>
      <c r="N442" s="1529"/>
      <c r="O442" s="1529"/>
      <c r="P442" s="1529"/>
      <c r="Q442" s="1529"/>
      <c r="R442" s="1529"/>
      <c r="S442" s="1529"/>
      <c r="T442" s="1529"/>
      <c r="U442" s="1529"/>
      <c r="V442" s="1529"/>
      <c r="W442" s="1529"/>
      <c r="X442" s="1529"/>
      <c r="Y442" s="1529"/>
      <c r="Z442" s="1529"/>
      <c r="AA442" s="1529"/>
      <c r="AB442" s="1529"/>
      <c r="AC442" s="1529"/>
      <c r="AD442" s="1529"/>
      <c r="AE442" s="1529"/>
      <c r="AF442" s="1529"/>
      <c r="AG442" s="1529"/>
    </row>
    <row r="443" spans="1:33" ht="15.75" hidden="1" thickBot="1">
      <c r="A443" s="1530"/>
      <c r="B443" s="1532"/>
      <c r="C443" s="1530"/>
      <c r="D443" s="1410" t="s">
        <v>1480</v>
      </c>
      <c r="E443" s="1528" t="s">
        <v>2129</v>
      </c>
      <c r="F443" s="1528" t="s">
        <v>2129</v>
      </c>
      <c r="G443" s="1528" t="s">
        <v>2129</v>
      </c>
      <c r="H443" s="1528" t="s">
        <v>2129</v>
      </c>
      <c r="I443" s="1528" t="s">
        <v>2129</v>
      </c>
      <c r="J443" s="1528" t="s">
        <v>2129</v>
      </c>
      <c r="K443" s="1528" t="s">
        <v>2129</v>
      </c>
      <c r="L443" s="1528" t="s">
        <v>2166</v>
      </c>
      <c r="M443" s="1528">
        <v>796</v>
      </c>
      <c r="N443" s="1528">
        <v>14</v>
      </c>
      <c r="O443" s="1528">
        <v>14</v>
      </c>
      <c r="P443" s="1528"/>
      <c r="Q443" s="1528"/>
      <c r="R443" s="1528"/>
      <c r="S443" s="1528" t="s">
        <v>2129</v>
      </c>
      <c r="T443" s="1528" t="s">
        <v>2129</v>
      </c>
      <c r="U443" s="1528" t="s">
        <v>2129</v>
      </c>
      <c r="V443" s="1528" t="s">
        <v>2129</v>
      </c>
      <c r="W443" s="1528" t="s">
        <v>2129</v>
      </c>
      <c r="X443" s="1528" t="s">
        <v>2129</v>
      </c>
      <c r="Y443" s="1528" t="s">
        <v>2129</v>
      </c>
      <c r="Z443" s="1528" t="s">
        <v>2129</v>
      </c>
      <c r="AA443" s="1528" t="s">
        <v>2129</v>
      </c>
      <c r="AB443" s="1528" t="s">
        <v>2129</v>
      </c>
      <c r="AC443" s="1528" t="s">
        <v>2129</v>
      </c>
      <c r="AD443" s="1528" t="s">
        <v>2129</v>
      </c>
      <c r="AE443" s="1528" t="s">
        <v>2129</v>
      </c>
      <c r="AF443" s="1528" t="s">
        <v>2129</v>
      </c>
      <c r="AG443" s="1528" t="s">
        <v>2129</v>
      </c>
    </row>
    <row r="444" spans="1:33" ht="60" hidden="1" thickBot="1">
      <c r="A444" s="1530"/>
      <c r="B444" s="1532"/>
      <c r="C444" s="1530"/>
      <c r="D444" s="1409" t="s">
        <v>1481</v>
      </c>
      <c r="E444" s="1529"/>
      <c r="F444" s="1529"/>
      <c r="G444" s="1529"/>
      <c r="H444" s="1529"/>
      <c r="I444" s="1529"/>
      <c r="J444" s="1529"/>
      <c r="K444" s="1529"/>
      <c r="L444" s="1529"/>
      <c r="M444" s="1529"/>
      <c r="N444" s="1529"/>
      <c r="O444" s="1529"/>
      <c r="P444" s="1529"/>
      <c r="Q444" s="1529"/>
      <c r="R444" s="1529"/>
      <c r="S444" s="1529"/>
      <c r="T444" s="1529"/>
      <c r="U444" s="1529"/>
      <c r="V444" s="1529"/>
      <c r="W444" s="1529"/>
      <c r="X444" s="1529"/>
      <c r="Y444" s="1529"/>
      <c r="Z444" s="1529"/>
      <c r="AA444" s="1529"/>
      <c r="AB444" s="1529"/>
      <c r="AC444" s="1529"/>
      <c r="AD444" s="1529"/>
      <c r="AE444" s="1529"/>
      <c r="AF444" s="1529"/>
      <c r="AG444" s="1529"/>
    </row>
    <row r="445" spans="1:33" ht="15.75" hidden="1" thickBot="1">
      <c r="A445" s="1530"/>
      <c r="B445" s="1532"/>
      <c r="C445" s="1530"/>
      <c r="D445" s="1410" t="s">
        <v>1482</v>
      </c>
      <c r="E445" s="1528" t="s">
        <v>2129</v>
      </c>
      <c r="F445" s="1528" t="s">
        <v>2129</v>
      </c>
      <c r="G445" s="1528" t="s">
        <v>2129</v>
      </c>
      <c r="H445" s="1528" t="s">
        <v>2129</v>
      </c>
      <c r="I445" s="1528" t="s">
        <v>2129</v>
      </c>
      <c r="J445" s="1528" t="s">
        <v>2129</v>
      </c>
      <c r="K445" s="1528" t="s">
        <v>2129</v>
      </c>
      <c r="L445" s="1528" t="s">
        <v>2166</v>
      </c>
      <c r="M445" s="1528">
        <v>796</v>
      </c>
      <c r="N445" s="1528">
        <v>6</v>
      </c>
      <c r="O445" s="1528">
        <v>6</v>
      </c>
      <c r="P445" s="1528"/>
      <c r="Q445" s="1528"/>
      <c r="R445" s="1528"/>
      <c r="S445" s="1528" t="s">
        <v>2129</v>
      </c>
      <c r="T445" s="1528" t="s">
        <v>2129</v>
      </c>
      <c r="U445" s="1528" t="s">
        <v>2129</v>
      </c>
      <c r="V445" s="1528" t="s">
        <v>2129</v>
      </c>
      <c r="W445" s="1528" t="s">
        <v>2129</v>
      </c>
      <c r="X445" s="1528" t="s">
        <v>2129</v>
      </c>
      <c r="Y445" s="1528" t="s">
        <v>2129</v>
      </c>
      <c r="Z445" s="1528" t="s">
        <v>2129</v>
      </c>
      <c r="AA445" s="1528" t="s">
        <v>2129</v>
      </c>
      <c r="AB445" s="1528" t="s">
        <v>2129</v>
      </c>
      <c r="AC445" s="1528" t="s">
        <v>2129</v>
      </c>
      <c r="AD445" s="1528" t="s">
        <v>2129</v>
      </c>
      <c r="AE445" s="1528" t="s">
        <v>2129</v>
      </c>
      <c r="AF445" s="1528" t="s">
        <v>2129</v>
      </c>
      <c r="AG445" s="1528" t="s">
        <v>2129</v>
      </c>
    </row>
    <row r="446" spans="1:33" ht="60" hidden="1" thickBot="1">
      <c r="A446" s="1530"/>
      <c r="B446" s="1532"/>
      <c r="C446" s="1530"/>
      <c r="D446" s="1409" t="s">
        <v>1483</v>
      </c>
      <c r="E446" s="1529"/>
      <c r="F446" s="1529"/>
      <c r="G446" s="1529"/>
      <c r="H446" s="1529"/>
      <c r="I446" s="1529"/>
      <c r="J446" s="1529"/>
      <c r="K446" s="1529"/>
      <c r="L446" s="1529"/>
      <c r="M446" s="1529"/>
      <c r="N446" s="1529"/>
      <c r="O446" s="1529"/>
      <c r="P446" s="1529"/>
      <c r="Q446" s="1529"/>
      <c r="R446" s="1529"/>
      <c r="S446" s="1529"/>
      <c r="T446" s="1529"/>
      <c r="U446" s="1529"/>
      <c r="V446" s="1529"/>
      <c r="W446" s="1529"/>
      <c r="X446" s="1529"/>
      <c r="Y446" s="1529"/>
      <c r="Z446" s="1529"/>
      <c r="AA446" s="1529"/>
      <c r="AB446" s="1529"/>
      <c r="AC446" s="1529"/>
      <c r="AD446" s="1529"/>
      <c r="AE446" s="1529"/>
      <c r="AF446" s="1529"/>
      <c r="AG446" s="1529"/>
    </row>
    <row r="447" spans="1:33" ht="18.75" hidden="1" thickBot="1">
      <c r="A447" s="1530"/>
      <c r="B447" s="1532"/>
      <c r="C447" s="1530"/>
      <c r="D447" s="1410" t="s">
        <v>1484</v>
      </c>
      <c r="E447" s="1528" t="s">
        <v>2129</v>
      </c>
      <c r="F447" s="1528" t="s">
        <v>2129</v>
      </c>
      <c r="G447" s="1528" t="s">
        <v>2129</v>
      </c>
      <c r="H447" s="1528" t="s">
        <v>2129</v>
      </c>
      <c r="I447" s="1528" t="s">
        <v>2129</v>
      </c>
      <c r="J447" s="1528" t="s">
        <v>2129</v>
      </c>
      <c r="K447" s="1528" t="s">
        <v>2129</v>
      </c>
      <c r="L447" s="1528" t="s">
        <v>2166</v>
      </c>
      <c r="M447" s="1528">
        <v>796</v>
      </c>
      <c r="N447" s="1528">
        <v>12</v>
      </c>
      <c r="O447" s="1528">
        <v>12</v>
      </c>
      <c r="P447" s="1528"/>
      <c r="Q447" s="1528"/>
      <c r="R447" s="1528"/>
      <c r="S447" s="1528" t="s">
        <v>2129</v>
      </c>
      <c r="T447" s="1528" t="s">
        <v>2129</v>
      </c>
      <c r="U447" s="1528" t="s">
        <v>2129</v>
      </c>
      <c r="V447" s="1528" t="s">
        <v>2129</v>
      </c>
      <c r="W447" s="1528" t="s">
        <v>2129</v>
      </c>
      <c r="X447" s="1528" t="s">
        <v>2129</v>
      </c>
      <c r="Y447" s="1528" t="s">
        <v>2129</v>
      </c>
      <c r="Z447" s="1528" t="s">
        <v>2129</v>
      </c>
      <c r="AA447" s="1528" t="s">
        <v>2129</v>
      </c>
      <c r="AB447" s="1528" t="s">
        <v>2129</v>
      </c>
      <c r="AC447" s="1528" t="s">
        <v>2129</v>
      </c>
      <c r="AD447" s="1528" t="s">
        <v>2129</v>
      </c>
      <c r="AE447" s="1528" t="s">
        <v>2129</v>
      </c>
      <c r="AF447" s="1528" t="s">
        <v>2129</v>
      </c>
      <c r="AG447" s="1528" t="s">
        <v>2129</v>
      </c>
    </row>
    <row r="448" spans="1:33" ht="60" hidden="1" thickBot="1">
      <c r="A448" s="1530"/>
      <c r="B448" s="1532"/>
      <c r="C448" s="1530"/>
      <c r="D448" s="1409" t="s">
        <v>1485</v>
      </c>
      <c r="E448" s="1529"/>
      <c r="F448" s="1529"/>
      <c r="G448" s="1529"/>
      <c r="H448" s="1529"/>
      <c r="I448" s="1529"/>
      <c r="J448" s="1529"/>
      <c r="K448" s="1529"/>
      <c r="L448" s="1529"/>
      <c r="M448" s="1529"/>
      <c r="N448" s="1529"/>
      <c r="O448" s="1529"/>
      <c r="P448" s="1529"/>
      <c r="Q448" s="1529"/>
      <c r="R448" s="1529"/>
      <c r="S448" s="1529"/>
      <c r="T448" s="1529"/>
      <c r="U448" s="1529"/>
      <c r="V448" s="1529"/>
      <c r="W448" s="1529"/>
      <c r="X448" s="1529"/>
      <c r="Y448" s="1529"/>
      <c r="Z448" s="1529"/>
      <c r="AA448" s="1529"/>
      <c r="AB448" s="1529"/>
      <c r="AC448" s="1529"/>
      <c r="AD448" s="1529"/>
      <c r="AE448" s="1529"/>
      <c r="AF448" s="1529"/>
      <c r="AG448" s="1529"/>
    </row>
    <row r="449" spans="1:33" ht="15.75" hidden="1" thickBot="1">
      <c r="A449" s="1530"/>
      <c r="B449" s="1532"/>
      <c r="C449" s="1530"/>
      <c r="D449" s="1409" t="s">
        <v>1486</v>
      </c>
      <c r="E449" s="1409" t="s">
        <v>2129</v>
      </c>
      <c r="F449" s="1409" t="s">
        <v>2129</v>
      </c>
      <c r="G449" s="1409" t="s">
        <v>2129</v>
      </c>
      <c r="H449" s="1409" t="s">
        <v>2129</v>
      </c>
      <c r="I449" s="1409" t="s">
        <v>2129</v>
      </c>
      <c r="J449" s="1409" t="s">
        <v>2129</v>
      </c>
      <c r="K449" s="1409" t="s">
        <v>2129</v>
      </c>
      <c r="L449" s="1409" t="s">
        <v>2166</v>
      </c>
      <c r="M449" s="1409">
        <v>796</v>
      </c>
      <c r="N449" s="1409">
        <v>4</v>
      </c>
      <c r="O449" s="1409">
        <v>4</v>
      </c>
      <c r="P449" s="1409"/>
      <c r="Q449" s="1409"/>
      <c r="R449" s="1409"/>
      <c r="S449" s="1409" t="s">
        <v>2129</v>
      </c>
      <c r="T449" s="1409" t="s">
        <v>2129</v>
      </c>
      <c r="U449" s="1409" t="s">
        <v>2129</v>
      </c>
      <c r="V449" s="1409" t="s">
        <v>2129</v>
      </c>
      <c r="W449" s="1409" t="s">
        <v>2129</v>
      </c>
      <c r="X449" s="1409" t="s">
        <v>2129</v>
      </c>
      <c r="Y449" s="1409" t="s">
        <v>2129</v>
      </c>
      <c r="Z449" s="1409" t="s">
        <v>2129</v>
      </c>
      <c r="AA449" s="1409" t="s">
        <v>2129</v>
      </c>
      <c r="AB449" s="1409" t="s">
        <v>2129</v>
      </c>
      <c r="AC449" s="1409" t="s">
        <v>2129</v>
      </c>
      <c r="AD449" s="1409" t="s">
        <v>2129</v>
      </c>
      <c r="AE449" s="1409" t="s">
        <v>2129</v>
      </c>
      <c r="AF449" s="1409" t="s">
        <v>2129</v>
      </c>
      <c r="AG449" s="1409" t="s">
        <v>2129</v>
      </c>
    </row>
    <row r="450" spans="1:33" ht="15.75" hidden="1" thickBot="1">
      <c r="A450" s="1530"/>
      <c r="B450" s="1532"/>
      <c r="C450" s="1530"/>
      <c r="D450" s="1410" t="s">
        <v>1487</v>
      </c>
      <c r="E450" s="1528" t="s">
        <v>2129</v>
      </c>
      <c r="F450" s="1528" t="s">
        <v>2129</v>
      </c>
      <c r="G450" s="1528" t="s">
        <v>2129</v>
      </c>
      <c r="H450" s="1528" t="s">
        <v>2129</v>
      </c>
      <c r="I450" s="1528" t="s">
        <v>2129</v>
      </c>
      <c r="J450" s="1528" t="s">
        <v>2129</v>
      </c>
      <c r="K450" s="1528" t="s">
        <v>2129</v>
      </c>
      <c r="L450" s="1528" t="s">
        <v>2166</v>
      </c>
      <c r="M450" s="1528">
        <v>796</v>
      </c>
      <c r="N450" s="1528">
        <v>5</v>
      </c>
      <c r="O450" s="1528">
        <v>5</v>
      </c>
      <c r="P450" s="1528"/>
      <c r="Q450" s="1528"/>
      <c r="R450" s="1528"/>
      <c r="S450" s="1528" t="s">
        <v>2129</v>
      </c>
      <c r="T450" s="1528" t="s">
        <v>2129</v>
      </c>
      <c r="U450" s="1528" t="s">
        <v>2129</v>
      </c>
      <c r="V450" s="1528" t="s">
        <v>2129</v>
      </c>
      <c r="W450" s="1528" t="s">
        <v>2129</v>
      </c>
      <c r="X450" s="1528" t="s">
        <v>2129</v>
      </c>
      <c r="Y450" s="1528" t="s">
        <v>2129</v>
      </c>
      <c r="Z450" s="1528" t="s">
        <v>2129</v>
      </c>
      <c r="AA450" s="1528" t="s">
        <v>2129</v>
      </c>
      <c r="AB450" s="1528" t="s">
        <v>2129</v>
      </c>
      <c r="AC450" s="1528" t="s">
        <v>2129</v>
      </c>
      <c r="AD450" s="1528" t="s">
        <v>2129</v>
      </c>
      <c r="AE450" s="1528" t="s">
        <v>2129</v>
      </c>
      <c r="AF450" s="1528" t="s">
        <v>2129</v>
      </c>
      <c r="AG450" s="1528" t="s">
        <v>2129</v>
      </c>
    </row>
    <row r="451" spans="1:33" ht="60" hidden="1" thickBot="1">
      <c r="A451" s="1530"/>
      <c r="B451" s="1532"/>
      <c r="C451" s="1530"/>
      <c r="D451" s="1409" t="s">
        <v>1488</v>
      </c>
      <c r="E451" s="1529"/>
      <c r="F451" s="1529"/>
      <c r="G451" s="1529"/>
      <c r="H451" s="1529"/>
      <c r="I451" s="1529"/>
      <c r="J451" s="1529"/>
      <c r="K451" s="1529"/>
      <c r="L451" s="1529"/>
      <c r="M451" s="1529"/>
      <c r="N451" s="1529"/>
      <c r="O451" s="1529"/>
      <c r="P451" s="1529"/>
      <c r="Q451" s="1529"/>
      <c r="R451" s="1529"/>
      <c r="S451" s="1529"/>
      <c r="T451" s="1529"/>
      <c r="U451" s="1529"/>
      <c r="V451" s="1529"/>
      <c r="W451" s="1529"/>
      <c r="X451" s="1529"/>
      <c r="Y451" s="1529"/>
      <c r="Z451" s="1529"/>
      <c r="AA451" s="1529"/>
      <c r="AB451" s="1529"/>
      <c r="AC451" s="1529"/>
      <c r="AD451" s="1529"/>
      <c r="AE451" s="1529"/>
      <c r="AF451" s="1529"/>
      <c r="AG451" s="1529"/>
    </row>
    <row r="452" spans="1:33" ht="15.75" hidden="1" thickBot="1">
      <c r="A452" s="1530"/>
      <c r="B452" s="1532"/>
      <c r="C452" s="1530"/>
      <c r="D452" s="1410" t="s">
        <v>1489</v>
      </c>
      <c r="E452" s="1528" t="s">
        <v>2129</v>
      </c>
      <c r="F452" s="1528" t="s">
        <v>2129</v>
      </c>
      <c r="G452" s="1528" t="s">
        <v>2129</v>
      </c>
      <c r="H452" s="1528" t="s">
        <v>2129</v>
      </c>
      <c r="I452" s="1528" t="s">
        <v>2129</v>
      </c>
      <c r="J452" s="1528" t="s">
        <v>2129</v>
      </c>
      <c r="K452" s="1528" t="s">
        <v>2129</v>
      </c>
      <c r="L452" s="1528" t="s">
        <v>2166</v>
      </c>
      <c r="M452" s="1528">
        <v>796</v>
      </c>
      <c r="N452" s="1528">
        <v>5</v>
      </c>
      <c r="O452" s="1528">
        <v>5</v>
      </c>
      <c r="P452" s="1528"/>
      <c r="Q452" s="1528"/>
      <c r="R452" s="1528"/>
      <c r="S452" s="1528" t="s">
        <v>2129</v>
      </c>
      <c r="T452" s="1528" t="s">
        <v>2129</v>
      </c>
      <c r="U452" s="1528" t="s">
        <v>2129</v>
      </c>
      <c r="V452" s="1528" t="s">
        <v>2129</v>
      </c>
      <c r="W452" s="1528" t="s">
        <v>2129</v>
      </c>
      <c r="X452" s="1528" t="s">
        <v>2129</v>
      </c>
      <c r="Y452" s="1528" t="s">
        <v>2129</v>
      </c>
      <c r="Z452" s="1528" t="s">
        <v>2129</v>
      </c>
      <c r="AA452" s="1528" t="s">
        <v>2129</v>
      </c>
      <c r="AB452" s="1528" t="s">
        <v>2129</v>
      </c>
      <c r="AC452" s="1528" t="s">
        <v>2129</v>
      </c>
      <c r="AD452" s="1528" t="s">
        <v>2129</v>
      </c>
      <c r="AE452" s="1528" t="s">
        <v>2129</v>
      </c>
      <c r="AF452" s="1528" t="s">
        <v>2129</v>
      </c>
      <c r="AG452" s="1528" t="s">
        <v>2129</v>
      </c>
    </row>
    <row r="453" spans="1:33" ht="60" hidden="1" thickBot="1">
      <c r="A453" s="1530"/>
      <c r="B453" s="1532"/>
      <c r="C453" s="1530"/>
      <c r="D453" s="1409" t="s">
        <v>1490</v>
      </c>
      <c r="E453" s="1529"/>
      <c r="F453" s="1529"/>
      <c r="G453" s="1529"/>
      <c r="H453" s="1529"/>
      <c r="I453" s="1529"/>
      <c r="J453" s="1529"/>
      <c r="K453" s="1529"/>
      <c r="L453" s="1529"/>
      <c r="M453" s="1529"/>
      <c r="N453" s="1529"/>
      <c r="O453" s="1529"/>
      <c r="P453" s="1529"/>
      <c r="Q453" s="1529"/>
      <c r="R453" s="1529"/>
      <c r="S453" s="1529"/>
      <c r="T453" s="1529"/>
      <c r="U453" s="1529"/>
      <c r="V453" s="1529"/>
      <c r="W453" s="1529"/>
      <c r="X453" s="1529"/>
      <c r="Y453" s="1529"/>
      <c r="Z453" s="1529"/>
      <c r="AA453" s="1529"/>
      <c r="AB453" s="1529"/>
      <c r="AC453" s="1529"/>
      <c r="AD453" s="1529"/>
      <c r="AE453" s="1529"/>
      <c r="AF453" s="1529"/>
      <c r="AG453" s="1529"/>
    </row>
    <row r="454" spans="1:33" ht="15.75" hidden="1" thickBot="1">
      <c r="A454" s="1530"/>
      <c r="B454" s="1532"/>
      <c r="C454" s="1530"/>
      <c r="D454" s="1410" t="s">
        <v>1491</v>
      </c>
      <c r="E454" s="1528" t="s">
        <v>2129</v>
      </c>
      <c r="F454" s="1528" t="s">
        <v>2129</v>
      </c>
      <c r="G454" s="1528" t="s">
        <v>2129</v>
      </c>
      <c r="H454" s="1528" t="s">
        <v>2129</v>
      </c>
      <c r="I454" s="1528" t="s">
        <v>2129</v>
      </c>
      <c r="J454" s="1528" t="s">
        <v>2129</v>
      </c>
      <c r="K454" s="1528" t="s">
        <v>2129</v>
      </c>
      <c r="L454" s="1528" t="s">
        <v>2166</v>
      </c>
      <c r="M454" s="1528">
        <v>796</v>
      </c>
      <c r="N454" s="1528">
        <v>1</v>
      </c>
      <c r="O454" s="1528">
        <v>1</v>
      </c>
      <c r="P454" s="1528"/>
      <c r="Q454" s="1528"/>
      <c r="R454" s="1528"/>
      <c r="S454" s="1528" t="s">
        <v>2129</v>
      </c>
      <c r="T454" s="1528" t="s">
        <v>2129</v>
      </c>
      <c r="U454" s="1528" t="s">
        <v>2129</v>
      </c>
      <c r="V454" s="1528" t="s">
        <v>2129</v>
      </c>
      <c r="W454" s="1528" t="s">
        <v>2129</v>
      </c>
      <c r="X454" s="1528" t="s">
        <v>2129</v>
      </c>
      <c r="Y454" s="1528" t="s">
        <v>2129</v>
      </c>
      <c r="Z454" s="1528" t="s">
        <v>2129</v>
      </c>
      <c r="AA454" s="1528" t="s">
        <v>2129</v>
      </c>
      <c r="AB454" s="1528" t="s">
        <v>2129</v>
      </c>
      <c r="AC454" s="1528" t="s">
        <v>2129</v>
      </c>
      <c r="AD454" s="1528" t="s">
        <v>2129</v>
      </c>
      <c r="AE454" s="1528" t="s">
        <v>2129</v>
      </c>
      <c r="AF454" s="1528" t="s">
        <v>2129</v>
      </c>
      <c r="AG454" s="1528" t="s">
        <v>2129</v>
      </c>
    </row>
    <row r="455" spans="1:33" ht="60" hidden="1" thickBot="1">
      <c r="A455" s="1530"/>
      <c r="B455" s="1532"/>
      <c r="C455" s="1530"/>
      <c r="D455" s="1409" t="s">
        <v>1492</v>
      </c>
      <c r="E455" s="1529"/>
      <c r="F455" s="1529"/>
      <c r="G455" s="1529"/>
      <c r="H455" s="1529"/>
      <c r="I455" s="1529"/>
      <c r="J455" s="1529"/>
      <c r="K455" s="1529"/>
      <c r="L455" s="1529"/>
      <c r="M455" s="1529"/>
      <c r="N455" s="1529"/>
      <c r="O455" s="1529"/>
      <c r="P455" s="1529"/>
      <c r="Q455" s="1529"/>
      <c r="R455" s="1529"/>
      <c r="S455" s="1529"/>
      <c r="T455" s="1529"/>
      <c r="U455" s="1529"/>
      <c r="V455" s="1529"/>
      <c r="W455" s="1529"/>
      <c r="X455" s="1529"/>
      <c r="Y455" s="1529"/>
      <c r="Z455" s="1529"/>
      <c r="AA455" s="1529"/>
      <c r="AB455" s="1529"/>
      <c r="AC455" s="1529"/>
      <c r="AD455" s="1529"/>
      <c r="AE455" s="1529"/>
      <c r="AF455" s="1529"/>
      <c r="AG455" s="1529"/>
    </row>
    <row r="456" spans="1:33" ht="18.75" hidden="1" thickBot="1">
      <c r="A456" s="1530"/>
      <c r="B456" s="1532"/>
      <c r="C456" s="1530"/>
      <c r="D456" s="1410" t="s">
        <v>1493</v>
      </c>
      <c r="E456" s="1528" t="s">
        <v>2129</v>
      </c>
      <c r="F456" s="1528" t="s">
        <v>2129</v>
      </c>
      <c r="G456" s="1528" t="s">
        <v>2129</v>
      </c>
      <c r="H456" s="1528" t="s">
        <v>2129</v>
      </c>
      <c r="I456" s="1528" t="s">
        <v>2129</v>
      </c>
      <c r="J456" s="1528" t="s">
        <v>2129</v>
      </c>
      <c r="K456" s="1528" t="s">
        <v>2129</v>
      </c>
      <c r="L456" s="1528" t="s">
        <v>2166</v>
      </c>
      <c r="M456" s="1528">
        <v>796</v>
      </c>
      <c r="N456" s="1528">
        <v>5</v>
      </c>
      <c r="O456" s="1528">
        <v>5</v>
      </c>
      <c r="P456" s="1528"/>
      <c r="Q456" s="1528"/>
      <c r="R456" s="1528"/>
      <c r="S456" s="1528" t="s">
        <v>2129</v>
      </c>
      <c r="T456" s="1528" t="s">
        <v>2129</v>
      </c>
      <c r="U456" s="1528" t="s">
        <v>2129</v>
      </c>
      <c r="V456" s="1528" t="s">
        <v>2129</v>
      </c>
      <c r="W456" s="1528" t="s">
        <v>2129</v>
      </c>
      <c r="X456" s="1528" t="s">
        <v>2129</v>
      </c>
      <c r="Y456" s="1528" t="s">
        <v>2129</v>
      </c>
      <c r="Z456" s="1528" t="s">
        <v>2129</v>
      </c>
      <c r="AA456" s="1528" t="s">
        <v>2129</v>
      </c>
      <c r="AB456" s="1528" t="s">
        <v>2129</v>
      </c>
      <c r="AC456" s="1528" t="s">
        <v>2129</v>
      </c>
      <c r="AD456" s="1528" t="s">
        <v>2129</v>
      </c>
      <c r="AE456" s="1528" t="s">
        <v>2129</v>
      </c>
      <c r="AF456" s="1528" t="s">
        <v>2129</v>
      </c>
      <c r="AG456" s="1528" t="s">
        <v>2129</v>
      </c>
    </row>
    <row r="457" spans="1:33" ht="60" hidden="1" thickBot="1">
      <c r="A457" s="1530"/>
      <c r="B457" s="1532"/>
      <c r="C457" s="1530"/>
      <c r="D457" s="1409" t="s">
        <v>2524</v>
      </c>
      <c r="E457" s="1529"/>
      <c r="F457" s="1529"/>
      <c r="G457" s="1529"/>
      <c r="H457" s="1529"/>
      <c r="I457" s="1529"/>
      <c r="J457" s="1529"/>
      <c r="K457" s="1529"/>
      <c r="L457" s="1529"/>
      <c r="M457" s="1529"/>
      <c r="N457" s="1529"/>
      <c r="O457" s="1529"/>
      <c r="P457" s="1529"/>
      <c r="Q457" s="1529"/>
      <c r="R457" s="1529"/>
      <c r="S457" s="1529"/>
      <c r="T457" s="1529"/>
      <c r="U457" s="1529"/>
      <c r="V457" s="1529"/>
      <c r="W457" s="1529"/>
      <c r="X457" s="1529"/>
      <c r="Y457" s="1529"/>
      <c r="Z457" s="1529"/>
      <c r="AA457" s="1529"/>
      <c r="AB457" s="1529"/>
      <c r="AC457" s="1529"/>
      <c r="AD457" s="1529"/>
      <c r="AE457" s="1529"/>
      <c r="AF457" s="1529"/>
      <c r="AG457" s="1529"/>
    </row>
    <row r="458" spans="1:33" ht="18.75" hidden="1" thickBot="1">
      <c r="A458" s="1530"/>
      <c r="B458" s="1532"/>
      <c r="C458" s="1530"/>
      <c r="D458" s="1410" t="s">
        <v>1493</v>
      </c>
      <c r="E458" s="1528" t="s">
        <v>2129</v>
      </c>
      <c r="F458" s="1528" t="s">
        <v>2129</v>
      </c>
      <c r="G458" s="1528" t="s">
        <v>2129</v>
      </c>
      <c r="H458" s="1528" t="s">
        <v>2129</v>
      </c>
      <c r="I458" s="1528" t="s">
        <v>2129</v>
      </c>
      <c r="J458" s="1528" t="s">
        <v>2129</v>
      </c>
      <c r="K458" s="1528" t="s">
        <v>2129</v>
      </c>
      <c r="L458" s="1528" t="s">
        <v>2166</v>
      </c>
      <c r="M458" s="1528">
        <v>796</v>
      </c>
      <c r="N458" s="1528">
        <v>5</v>
      </c>
      <c r="O458" s="1528">
        <v>5</v>
      </c>
      <c r="P458" s="1528"/>
      <c r="Q458" s="1528"/>
      <c r="R458" s="1528"/>
      <c r="S458" s="1528" t="s">
        <v>2129</v>
      </c>
      <c r="T458" s="1528" t="s">
        <v>2129</v>
      </c>
      <c r="U458" s="1528" t="s">
        <v>2129</v>
      </c>
      <c r="V458" s="1528" t="s">
        <v>2129</v>
      </c>
      <c r="W458" s="1528" t="s">
        <v>2129</v>
      </c>
      <c r="X458" s="1528" t="s">
        <v>2129</v>
      </c>
      <c r="Y458" s="1528" t="s">
        <v>2129</v>
      </c>
      <c r="Z458" s="1528" t="s">
        <v>2129</v>
      </c>
      <c r="AA458" s="1528" t="s">
        <v>2129</v>
      </c>
      <c r="AB458" s="1528" t="s">
        <v>2129</v>
      </c>
      <c r="AC458" s="1528" t="s">
        <v>2129</v>
      </c>
      <c r="AD458" s="1528" t="s">
        <v>2129</v>
      </c>
      <c r="AE458" s="1528" t="s">
        <v>2129</v>
      </c>
      <c r="AF458" s="1528" t="s">
        <v>2129</v>
      </c>
      <c r="AG458" s="1528" t="s">
        <v>2129</v>
      </c>
    </row>
    <row r="459" spans="1:33" ht="60" hidden="1" thickBot="1">
      <c r="A459" s="1530"/>
      <c r="B459" s="1532"/>
      <c r="C459" s="1530"/>
      <c r="D459" s="1409" t="s">
        <v>2525</v>
      </c>
      <c r="E459" s="1529"/>
      <c r="F459" s="1529"/>
      <c r="G459" s="1529"/>
      <c r="H459" s="1529"/>
      <c r="I459" s="1529"/>
      <c r="J459" s="1529"/>
      <c r="K459" s="1529"/>
      <c r="L459" s="1529"/>
      <c r="M459" s="1529"/>
      <c r="N459" s="1529"/>
      <c r="O459" s="1529"/>
      <c r="P459" s="1529"/>
      <c r="Q459" s="1529"/>
      <c r="R459" s="1529"/>
      <c r="S459" s="1529"/>
      <c r="T459" s="1529"/>
      <c r="U459" s="1529"/>
      <c r="V459" s="1529"/>
      <c r="W459" s="1529"/>
      <c r="X459" s="1529"/>
      <c r="Y459" s="1529"/>
      <c r="Z459" s="1529"/>
      <c r="AA459" s="1529"/>
      <c r="AB459" s="1529"/>
      <c r="AC459" s="1529"/>
      <c r="AD459" s="1529"/>
      <c r="AE459" s="1529"/>
      <c r="AF459" s="1529"/>
      <c r="AG459" s="1529"/>
    </row>
    <row r="460" spans="1:33" ht="18.75" hidden="1" thickBot="1">
      <c r="A460" s="1530"/>
      <c r="B460" s="1532"/>
      <c r="C460" s="1530"/>
      <c r="D460" s="1409" t="s">
        <v>1493</v>
      </c>
      <c r="E460" s="1409" t="s">
        <v>2129</v>
      </c>
      <c r="F460" s="1409" t="s">
        <v>2129</v>
      </c>
      <c r="G460" s="1409" t="s">
        <v>2129</v>
      </c>
      <c r="H460" s="1409" t="s">
        <v>2129</v>
      </c>
      <c r="I460" s="1409" t="s">
        <v>2129</v>
      </c>
      <c r="J460" s="1409" t="s">
        <v>2129</v>
      </c>
      <c r="K460" s="1409" t="s">
        <v>2129</v>
      </c>
      <c r="L460" s="1409" t="s">
        <v>2166</v>
      </c>
      <c r="M460" s="1409">
        <v>796</v>
      </c>
      <c r="N460" s="1409">
        <v>5</v>
      </c>
      <c r="O460" s="1409">
        <v>5</v>
      </c>
      <c r="P460" s="1409"/>
      <c r="Q460" s="1409"/>
      <c r="R460" s="1409"/>
      <c r="S460" s="1409" t="s">
        <v>2129</v>
      </c>
      <c r="T460" s="1409" t="s">
        <v>2129</v>
      </c>
      <c r="U460" s="1409" t="s">
        <v>2129</v>
      </c>
      <c r="V460" s="1409" t="s">
        <v>2129</v>
      </c>
      <c r="W460" s="1409" t="s">
        <v>2129</v>
      </c>
      <c r="X460" s="1409" t="s">
        <v>2129</v>
      </c>
      <c r="Y460" s="1409" t="s">
        <v>2129</v>
      </c>
      <c r="Z460" s="1409" t="s">
        <v>2129</v>
      </c>
      <c r="AA460" s="1409" t="s">
        <v>2129</v>
      </c>
      <c r="AB460" s="1409" t="s">
        <v>2129</v>
      </c>
      <c r="AC460" s="1409" t="s">
        <v>2129</v>
      </c>
      <c r="AD460" s="1409" t="s">
        <v>2129</v>
      </c>
      <c r="AE460" s="1409" t="s">
        <v>2129</v>
      </c>
      <c r="AF460" s="1409" t="s">
        <v>2129</v>
      </c>
      <c r="AG460" s="1409" t="s">
        <v>2129</v>
      </c>
    </row>
    <row r="461" spans="1:33" ht="18.75" hidden="1" thickBot="1">
      <c r="A461" s="1530"/>
      <c r="B461" s="1532"/>
      <c r="C461" s="1530"/>
      <c r="D461" s="1409" t="s">
        <v>2526</v>
      </c>
      <c r="E461" s="1409" t="s">
        <v>2129</v>
      </c>
      <c r="F461" s="1409" t="s">
        <v>2129</v>
      </c>
      <c r="G461" s="1409" t="s">
        <v>2129</v>
      </c>
      <c r="H461" s="1409" t="s">
        <v>2129</v>
      </c>
      <c r="I461" s="1409" t="s">
        <v>2129</v>
      </c>
      <c r="J461" s="1409" t="s">
        <v>2129</v>
      </c>
      <c r="K461" s="1409" t="s">
        <v>2129</v>
      </c>
      <c r="L461" s="1409" t="s">
        <v>2166</v>
      </c>
      <c r="M461" s="1409">
        <v>796</v>
      </c>
      <c r="N461" s="1409">
        <v>25</v>
      </c>
      <c r="O461" s="1409">
        <v>25</v>
      </c>
      <c r="P461" s="1409"/>
      <c r="Q461" s="1409"/>
      <c r="R461" s="1409"/>
      <c r="S461" s="1409" t="s">
        <v>2129</v>
      </c>
      <c r="T461" s="1409" t="s">
        <v>2129</v>
      </c>
      <c r="U461" s="1409" t="s">
        <v>2129</v>
      </c>
      <c r="V461" s="1409" t="s">
        <v>2129</v>
      </c>
      <c r="W461" s="1409" t="s">
        <v>2129</v>
      </c>
      <c r="X461" s="1409" t="s">
        <v>2129</v>
      </c>
      <c r="Y461" s="1409" t="s">
        <v>2129</v>
      </c>
      <c r="Z461" s="1409" t="s">
        <v>2129</v>
      </c>
      <c r="AA461" s="1409" t="s">
        <v>2129</v>
      </c>
      <c r="AB461" s="1409" t="s">
        <v>2129</v>
      </c>
      <c r="AC461" s="1409" t="s">
        <v>2129</v>
      </c>
      <c r="AD461" s="1409" t="s">
        <v>2129</v>
      </c>
      <c r="AE461" s="1409" t="s">
        <v>2129</v>
      </c>
      <c r="AF461" s="1409" t="s">
        <v>2129</v>
      </c>
      <c r="AG461" s="1409" t="s">
        <v>2129</v>
      </c>
    </row>
    <row r="462" spans="1:33" ht="15.75" hidden="1" thickBot="1">
      <c r="A462" s="1530"/>
      <c r="B462" s="1532"/>
      <c r="C462" s="1530"/>
      <c r="D462" s="1410" t="s">
        <v>2527</v>
      </c>
      <c r="E462" s="1528" t="s">
        <v>2129</v>
      </c>
      <c r="F462" s="1528" t="s">
        <v>2129</v>
      </c>
      <c r="G462" s="1528" t="s">
        <v>2129</v>
      </c>
      <c r="H462" s="1528" t="s">
        <v>2129</v>
      </c>
      <c r="I462" s="1528" t="s">
        <v>2129</v>
      </c>
      <c r="J462" s="1528" t="s">
        <v>2129</v>
      </c>
      <c r="K462" s="1528" t="s">
        <v>2129</v>
      </c>
      <c r="L462" s="1528" t="s">
        <v>2166</v>
      </c>
      <c r="M462" s="1528">
        <v>796</v>
      </c>
      <c r="N462" s="1528">
        <v>13</v>
      </c>
      <c r="O462" s="1528">
        <v>13</v>
      </c>
      <c r="P462" s="1528"/>
      <c r="Q462" s="1528"/>
      <c r="R462" s="1528"/>
      <c r="S462" s="1528" t="s">
        <v>2129</v>
      </c>
      <c r="T462" s="1528" t="s">
        <v>2129</v>
      </c>
      <c r="U462" s="1528" t="s">
        <v>2129</v>
      </c>
      <c r="V462" s="1528" t="s">
        <v>2129</v>
      </c>
      <c r="W462" s="1528" t="s">
        <v>2129</v>
      </c>
      <c r="X462" s="1528" t="s">
        <v>2129</v>
      </c>
      <c r="Y462" s="1528" t="s">
        <v>2129</v>
      </c>
      <c r="Z462" s="1528" t="s">
        <v>2129</v>
      </c>
      <c r="AA462" s="1528" t="s">
        <v>2129</v>
      </c>
      <c r="AB462" s="1528" t="s">
        <v>2129</v>
      </c>
      <c r="AC462" s="1528" t="s">
        <v>2129</v>
      </c>
      <c r="AD462" s="1528" t="s">
        <v>2129</v>
      </c>
      <c r="AE462" s="1528" t="s">
        <v>2129</v>
      </c>
      <c r="AF462" s="1528" t="s">
        <v>2129</v>
      </c>
      <c r="AG462" s="1528" t="s">
        <v>2129</v>
      </c>
    </row>
    <row r="463" spans="1:33" ht="60" hidden="1" thickBot="1">
      <c r="A463" s="1530"/>
      <c r="B463" s="1532"/>
      <c r="C463" s="1530"/>
      <c r="D463" s="1409" t="s">
        <v>2528</v>
      </c>
      <c r="E463" s="1529"/>
      <c r="F463" s="1529"/>
      <c r="G463" s="1529"/>
      <c r="H463" s="1529"/>
      <c r="I463" s="1529"/>
      <c r="J463" s="1529"/>
      <c r="K463" s="1529"/>
      <c r="L463" s="1529"/>
      <c r="M463" s="1529"/>
      <c r="N463" s="1529"/>
      <c r="O463" s="1529"/>
      <c r="P463" s="1529"/>
      <c r="Q463" s="1529"/>
      <c r="R463" s="1529"/>
      <c r="S463" s="1529"/>
      <c r="T463" s="1529"/>
      <c r="U463" s="1529"/>
      <c r="V463" s="1529"/>
      <c r="W463" s="1529"/>
      <c r="X463" s="1529"/>
      <c r="Y463" s="1529"/>
      <c r="Z463" s="1529"/>
      <c r="AA463" s="1529"/>
      <c r="AB463" s="1529"/>
      <c r="AC463" s="1529"/>
      <c r="AD463" s="1529"/>
      <c r="AE463" s="1529"/>
      <c r="AF463" s="1529"/>
      <c r="AG463" s="1529"/>
    </row>
    <row r="464" spans="1:33" ht="18.75" hidden="1" thickBot="1">
      <c r="A464" s="1530"/>
      <c r="B464" s="1532"/>
      <c r="C464" s="1530"/>
      <c r="D464" s="1410" t="s">
        <v>2529</v>
      </c>
      <c r="E464" s="1528" t="s">
        <v>2129</v>
      </c>
      <c r="F464" s="1528" t="s">
        <v>2129</v>
      </c>
      <c r="G464" s="1528" t="s">
        <v>2129</v>
      </c>
      <c r="H464" s="1528" t="s">
        <v>2129</v>
      </c>
      <c r="I464" s="1528" t="s">
        <v>2129</v>
      </c>
      <c r="J464" s="1528" t="s">
        <v>2129</v>
      </c>
      <c r="K464" s="1528" t="s">
        <v>2129</v>
      </c>
      <c r="L464" s="1528" t="s">
        <v>2166</v>
      </c>
      <c r="M464" s="1528">
        <v>796</v>
      </c>
      <c r="N464" s="1528">
        <v>100</v>
      </c>
      <c r="O464" s="1528">
        <v>100</v>
      </c>
      <c r="P464" s="1528"/>
      <c r="Q464" s="1528"/>
      <c r="R464" s="1528"/>
      <c r="S464" s="1528" t="s">
        <v>2129</v>
      </c>
      <c r="T464" s="1528" t="s">
        <v>2129</v>
      </c>
      <c r="U464" s="1528" t="s">
        <v>2129</v>
      </c>
      <c r="V464" s="1528" t="s">
        <v>2129</v>
      </c>
      <c r="W464" s="1528" t="s">
        <v>2129</v>
      </c>
      <c r="X464" s="1528" t="s">
        <v>2129</v>
      </c>
      <c r="Y464" s="1528" t="s">
        <v>2129</v>
      </c>
      <c r="Z464" s="1528" t="s">
        <v>2129</v>
      </c>
      <c r="AA464" s="1528" t="s">
        <v>2129</v>
      </c>
      <c r="AB464" s="1528" t="s">
        <v>2129</v>
      </c>
      <c r="AC464" s="1528" t="s">
        <v>2129</v>
      </c>
      <c r="AD464" s="1528" t="s">
        <v>2129</v>
      </c>
      <c r="AE464" s="1528" t="s">
        <v>2129</v>
      </c>
      <c r="AF464" s="1528" t="s">
        <v>2129</v>
      </c>
      <c r="AG464" s="1528" t="s">
        <v>2129</v>
      </c>
    </row>
    <row r="465" spans="1:33" ht="60" hidden="1" thickBot="1">
      <c r="A465" s="1530"/>
      <c r="B465" s="1532"/>
      <c r="C465" s="1530"/>
      <c r="D465" s="1409" t="s">
        <v>2530</v>
      </c>
      <c r="E465" s="1529"/>
      <c r="F465" s="1529"/>
      <c r="G465" s="1529"/>
      <c r="H465" s="1529"/>
      <c r="I465" s="1529"/>
      <c r="J465" s="1529"/>
      <c r="K465" s="1529"/>
      <c r="L465" s="1529"/>
      <c r="M465" s="1529"/>
      <c r="N465" s="1529"/>
      <c r="O465" s="1529"/>
      <c r="P465" s="1529"/>
      <c r="Q465" s="1529"/>
      <c r="R465" s="1529"/>
      <c r="S465" s="1529"/>
      <c r="T465" s="1529"/>
      <c r="U465" s="1529"/>
      <c r="V465" s="1529"/>
      <c r="W465" s="1529"/>
      <c r="X465" s="1529"/>
      <c r="Y465" s="1529"/>
      <c r="Z465" s="1529"/>
      <c r="AA465" s="1529"/>
      <c r="AB465" s="1529"/>
      <c r="AC465" s="1529"/>
      <c r="AD465" s="1529"/>
      <c r="AE465" s="1529"/>
      <c r="AF465" s="1529"/>
      <c r="AG465" s="1529"/>
    </row>
    <row r="466" spans="1:33" ht="15.75" hidden="1" thickBot="1">
      <c r="A466" s="1530"/>
      <c r="B466" s="1532"/>
      <c r="C466" s="1530"/>
      <c r="D466" s="1409" t="s">
        <v>598</v>
      </c>
      <c r="E466" s="1409" t="s">
        <v>2129</v>
      </c>
      <c r="F466" s="1409" t="s">
        <v>2129</v>
      </c>
      <c r="G466" s="1409" t="s">
        <v>2129</v>
      </c>
      <c r="H466" s="1409" t="s">
        <v>2129</v>
      </c>
      <c r="I466" s="1409" t="s">
        <v>2129</v>
      </c>
      <c r="J466" s="1409" t="s">
        <v>2129</v>
      </c>
      <c r="K466" s="1409" t="s">
        <v>2129</v>
      </c>
      <c r="L466" s="1409" t="s">
        <v>2166</v>
      </c>
      <c r="M466" s="1409">
        <v>796</v>
      </c>
      <c r="N466" s="1409">
        <v>20</v>
      </c>
      <c r="O466" s="1409">
        <v>20</v>
      </c>
      <c r="P466" s="1409"/>
      <c r="Q466" s="1409"/>
      <c r="R466" s="1409"/>
      <c r="S466" s="1409" t="s">
        <v>2129</v>
      </c>
      <c r="T466" s="1409" t="s">
        <v>2129</v>
      </c>
      <c r="U466" s="1409" t="s">
        <v>2129</v>
      </c>
      <c r="V466" s="1409" t="s">
        <v>2129</v>
      </c>
      <c r="W466" s="1409" t="s">
        <v>2129</v>
      </c>
      <c r="X466" s="1409" t="s">
        <v>2129</v>
      </c>
      <c r="Y466" s="1409" t="s">
        <v>2129</v>
      </c>
      <c r="Z466" s="1409" t="s">
        <v>2129</v>
      </c>
      <c r="AA466" s="1409" t="s">
        <v>2129</v>
      </c>
      <c r="AB466" s="1409" t="s">
        <v>2129</v>
      </c>
      <c r="AC466" s="1409" t="s">
        <v>2129</v>
      </c>
      <c r="AD466" s="1409" t="s">
        <v>2129</v>
      </c>
      <c r="AE466" s="1409" t="s">
        <v>2129</v>
      </c>
      <c r="AF466" s="1409" t="s">
        <v>2129</v>
      </c>
      <c r="AG466" s="1409" t="s">
        <v>2129</v>
      </c>
    </row>
    <row r="467" spans="1:33" ht="15.75" hidden="1" thickBot="1">
      <c r="A467" s="1530"/>
      <c r="B467" s="1532"/>
      <c r="C467" s="1530"/>
      <c r="D467" s="1410" t="s">
        <v>2531</v>
      </c>
      <c r="E467" s="1528" t="s">
        <v>2129</v>
      </c>
      <c r="F467" s="1528" t="s">
        <v>2129</v>
      </c>
      <c r="G467" s="1528" t="s">
        <v>2129</v>
      </c>
      <c r="H467" s="1528" t="s">
        <v>2129</v>
      </c>
      <c r="I467" s="1528" t="s">
        <v>2129</v>
      </c>
      <c r="J467" s="1528" t="s">
        <v>2129</v>
      </c>
      <c r="K467" s="1528" t="s">
        <v>2129</v>
      </c>
      <c r="L467" s="1528" t="s">
        <v>2166</v>
      </c>
      <c r="M467" s="1528">
        <v>796</v>
      </c>
      <c r="N467" s="1528">
        <v>20</v>
      </c>
      <c r="O467" s="1528">
        <v>20</v>
      </c>
      <c r="P467" s="1528"/>
      <c r="Q467" s="1528"/>
      <c r="R467" s="1528"/>
      <c r="S467" s="1528" t="s">
        <v>2129</v>
      </c>
      <c r="T467" s="1528" t="s">
        <v>2129</v>
      </c>
      <c r="U467" s="1528" t="s">
        <v>2129</v>
      </c>
      <c r="V467" s="1528" t="s">
        <v>2129</v>
      </c>
      <c r="W467" s="1528" t="s">
        <v>2129</v>
      </c>
      <c r="X467" s="1528" t="s">
        <v>2129</v>
      </c>
      <c r="Y467" s="1528" t="s">
        <v>2129</v>
      </c>
      <c r="Z467" s="1528" t="s">
        <v>2129</v>
      </c>
      <c r="AA467" s="1528" t="s">
        <v>2129</v>
      </c>
      <c r="AB467" s="1528" t="s">
        <v>2129</v>
      </c>
      <c r="AC467" s="1528" t="s">
        <v>2129</v>
      </c>
      <c r="AD467" s="1528" t="s">
        <v>2129</v>
      </c>
      <c r="AE467" s="1528" t="s">
        <v>2129</v>
      </c>
      <c r="AF467" s="1528" t="s">
        <v>2129</v>
      </c>
      <c r="AG467" s="1528" t="s">
        <v>2129</v>
      </c>
    </row>
    <row r="468" spans="1:33" ht="60" hidden="1" thickBot="1">
      <c r="A468" s="1530"/>
      <c r="B468" s="1532"/>
      <c r="C468" s="1530"/>
      <c r="D468" s="1409" t="s">
        <v>2532</v>
      </c>
      <c r="E468" s="1529"/>
      <c r="F468" s="1529"/>
      <c r="G468" s="1529"/>
      <c r="H468" s="1529"/>
      <c r="I468" s="1529"/>
      <c r="J468" s="1529"/>
      <c r="K468" s="1529"/>
      <c r="L468" s="1529"/>
      <c r="M468" s="1529"/>
      <c r="N468" s="1529"/>
      <c r="O468" s="1529"/>
      <c r="P468" s="1529"/>
      <c r="Q468" s="1529"/>
      <c r="R468" s="1529"/>
      <c r="S468" s="1529"/>
      <c r="T468" s="1529"/>
      <c r="U468" s="1529"/>
      <c r="V468" s="1529"/>
      <c r="W468" s="1529"/>
      <c r="X468" s="1529"/>
      <c r="Y468" s="1529"/>
      <c r="Z468" s="1529"/>
      <c r="AA468" s="1529"/>
      <c r="AB468" s="1529"/>
      <c r="AC468" s="1529"/>
      <c r="AD468" s="1529"/>
      <c r="AE468" s="1529"/>
      <c r="AF468" s="1529"/>
      <c r="AG468" s="1529"/>
    </row>
    <row r="469" spans="1:33" ht="15.75" hidden="1" thickBot="1">
      <c r="A469" s="1530"/>
      <c r="B469" s="1532"/>
      <c r="C469" s="1530"/>
      <c r="D469" s="1410" t="s">
        <v>2533</v>
      </c>
      <c r="E469" s="1528" t="s">
        <v>2129</v>
      </c>
      <c r="F469" s="1528" t="s">
        <v>2129</v>
      </c>
      <c r="G469" s="1528" t="s">
        <v>2129</v>
      </c>
      <c r="H469" s="1528" t="s">
        <v>2129</v>
      </c>
      <c r="I469" s="1528" t="s">
        <v>2129</v>
      </c>
      <c r="J469" s="1528" t="s">
        <v>2129</v>
      </c>
      <c r="K469" s="1528" t="s">
        <v>2129</v>
      </c>
      <c r="L469" s="1528" t="s">
        <v>2166</v>
      </c>
      <c r="M469" s="1528">
        <v>796</v>
      </c>
      <c r="N469" s="1528">
        <v>1</v>
      </c>
      <c r="O469" s="1528">
        <v>1</v>
      </c>
      <c r="P469" s="1528"/>
      <c r="Q469" s="1528"/>
      <c r="R469" s="1528"/>
      <c r="S469" s="1528" t="s">
        <v>2129</v>
      </c>
      <c r="T469" s="1528" t="s">
        <v>2129</v>
      </c>
      <c r="U469" s="1528" t="s">
        <v>2129</v>
      </c>
      <c r="V469" s="1528" t="s">
        <v>2129</v>
      </c>
      <c r="W469" s="1528" t="s">
        <v>2129</v>
      </c>
      <c r="X469" s="1528" t="s">
        <v>2129</v>
      </c>
      <c r="Y469" s="1528" t="s">
        <v>2129</v>
      </c>
      <c r="Z469" s="1528" t="s">
        <v>2129</v>
      </c>
      <c r="AA469" s="1528" t="s">
        <v>2129</v>
      </c>
      <c r="AB469" s="1528" t="s">
        <v>2129</v>
      </c>
      <c r="AC469" s="1528" t="s">
        <v>2129</v>
      </c>
      <c r="AD469" s="1528" t="s">
        <v>2129</v>
      </c>
      <c r="AE469" s="1528" t="s">
        <v>2129</v>
      </c>
      <c r="AF469" s="1528" t="s">
        <v>2129</v>
      </c>
      <c r="AG469" s="1528" t="s">
        <v>2129</v>
      </c>
    </row>
    <row r="470" spans="1:33" ht="60" hidden="1" thickBot="1">
      <c r="A470" s="1530"/>
      <c r="B470" s="1532"/>
      <c r="C470" s="1530"/>
      <c r="D470" s="1409" t="s">
        <v>2534</v>
      </c>
      <c r="E470" s="1529"/>
      <c r="F470" s="1529"/>
      <c r="G470" s="1529"/>
      <c r="H470" s="1529"/>
      <c r="I470" s="1529"/>
      <c r="J470" s="1529"/>
      <c r="K470" s="1529"/>
      <c r="L470" s="1529"/>
      <c r="M470" s="1529"/>
      <c r="N470" s="1529"/>
      <c r="O470" s="1529"/>
      <c r="P470" s="1529"/>
      <c r="Q470" s="1529"/>
      <c r="R470" s="1529"/>
      <c r="S470" s="1529"/>
      <c r="T470" s="1529"/>
      <c r="U470" s="1529"/>
      <c r="V470" s="1529"/>
      <c r="W470" s="1529"/>
      <c r="X470" s="1529"/>
      <c r="Y470" s="1529"/>
      <c r="Z470" s="1529"/>
      <c r="AA470" s="1529"/>
      <c r="AB470" s="1529"/>
      <c r="AC470" s="1529"/>
      <c r="AD470" s="1529"/>
      <c r="AE470" s="1529"/>
      <c r="AF470" s="1529"/>
      <c r="AG470" s="1529"/>
    </row>
    <row r="471" spans="1:33" ht="15.75" hidden="1" thickBot="1">
      <c r="A471" s="1530"/>
      <c r="B471" s="1532"/>
      <c r="C471" s="1530"/>
      <c r="D471" s="1410" t="s">
        <v>2533</v>
      </c>
      <c r="E471" s="1528" t="s">
        <v>2129</v>
      </c>
      <c r="F471" s="1528" t="s">
        <v>2129</v>
      </c>
      <c r="G471" s="1528" t="s">
        <v>2129</v>
      </c>
      <c r="H471" s="1528" t="s">
        <v>2129</v>
      </c>
      <c r="I471" s="1528" t="s">
        <v>2129</v>
      </c>
      <c r="J471" s="1528" t="s">
        <v>2129</v>
      </c>
      <c r="K471" s="1528" t="s">
        <v>2129</v>
      </c>
      <c r="L471" s="1528" t="s">
        <v>2166</v>
      </c>
      <c r="M471" s="1528">
        <v>796</v>
      </c>
      <c r="N471" s="1528">
        <v>2</v>
      </c>
      <c r="O471" s="1528">
        <v>2</v>
      </c>
      <c r="P471" s="1528"/>
      <c r="Q471" s="1528"/>
      <c r="R471" s="1528"/>
      <c r="S471" s="1528" t="s">
        <v>2129</v>
      </c>
      <c r="T471" s="1528" t="s">
        <v>2129</v>
      </c>
      <c r="U471" s="1528" t="s">
        <v>2129</v>
      </c>
      <c r="V471" s="1528" t="s">
        <v>2129</v>
      </c>
      <c r="W471" s="1528" t="s">
        <v>2129</v>
      </c>
      <c r="X471" s="1528" t="s">
        <v>2129</v>
      </c>
      <c r="Y471" s="1528" t="s">
        <v>2129</v>
      </c>
      <c r="Z471" s="1528" t="s">
        <v>2129</v>
      </c>
      <c r="AA471" s="1528" t="s">
        <v>2129</v>
      </c>
      <c r="AB471" s="1528" t="s">
        <v>2129</v>
      </c>
      <c r="AC471" s="1528" t="s">
        <v>2129</v>
      </c>
      <c r="AD471" s="1528" t="s">
        <v>2129</v>
      </c>
      <c r="AE471" s="1528" t="s">
        <v>2129</v>
      </c>
      <c r="AF471" s="1528" t="s">
        <v>2129</v>
      </c>
      <c r="AG471" s="1528" t="s">
        <v>2129</v>
      </c>
    </row>
    <row r="472" spans="1:33" ht="60" hidden="1" thickBot="1">
      <c r="A472" s="1530"/>
      <c r="B472" s="1532"/>
      <c r="C472" s="1530"/>
      <c r="D472" s="1409" t="s">
        <v>1490</v>
      </c>
      <c r="E472" s="1529"/>
      <c r="F472" s="1529"/>
      <c r="G472" s="1529"/>
      <c r="H472" s="1529"/>
      <c r="I472" s="1529"/>
      <c r="J472" s="1529"/>
      <c r="K472" s="1529"/>
      <c r="L472" s="1529"/>
      <c r="M472" s="1529"/>
      <c r="N472" s="1529"/>
      <c r="O472" s="1529"/>
      <c r="P472" s="1529"/>
      <c r="Q472" s="1529"/>
      <c r="R472" s="1529"/>
      <c r="S472" s="1529"/>
      <c r="T472" s="1529"/>
      <c r="U472" s="1529"/>
      <c r="V472" s="1529"/>
      <c r="W472" s="1529"/>
      <c r="X472" s="1529"/>
      <c r="Y472" s="1529"/>
      <c r="Z472" s="1529"/>
      <c r="AA472" s="1529"/>
      <c r="AB472" s="1529"/>
      <c r="AC472" s="1529"/>
      <c r="AD472" s="1529"/>
      <c r="AE472" s="1529"/>
      <c r="AF472" s="1529"/>
      <c r="AG472" s="1529"/>
    </row>
    <row r="473" spans="1:33" ht="15.75" hidden="1" thickBot="1">
      <c r="A473" s="1530"/>
      <c r="B473" s="1532"/>
      <c r="C473" s="1530"/>
      <c r="D473" s="1409" t="s">
        <v>2535</v>
      </c>
      <c r="E473" s="1409" t="s">
        <v>2129</v>
      </c>
      <c r="F473" s="1409" t="s">
        <v>2129</v>
      </c>
      <c r="G473" s="1409" t="s">
        <v>2129</v>
      </c>
      <c r="H473" s="1409" t="s">
        <v>2129</v>
      </c>
      <c r="I473" s="1409" t="s">
        <v>2129</v>
      </c>
      <c r="J473" s="1409" t="s">
        <v>2129</v>
      </c>
      <c r="K473" s="1409" t="s">
        <v>2129</v>
      </c>
      <c r="L473" s="1409" t="s">
        <v>2166</v>
      </c>
      <c r="M473" s="1409">
        <v>796</v>
      </c>
      <c r="N473" s="1409">
        <v>10</v>
      </c>
      <c r="O473" s="1409">
        <v>10</v>
      </c>
      <c r="P473" s="1409"/>
      <c r="Q473" s="1409"/>
      <c r="R473" s="1409"/>
      <c r="S473" s="1409" t="s">
        <v>2129</v>
      </c>
      <c r="T473" s="1409" t="s">
        <v>2129</v>
      </c>
      <c r="U473" s="1409" t="s">
        <v>2129</v>
      </c>
      <c r="V473" s="1409" t="s">
        <v>2129</v>
      </c>
      <c r="W473" s="1409" t="s">
        <v>2129</v>
      </c>
      <c r="X473" s="1409" t="s">
        <v>2129</v>
      </c>
      <c r="Y473" s="1409" t="s">
        <v>2129</v>
      </c>
      <c r="Z473" s="1409" t="s">
        <v>2129</v>
      </c>
      <c r="AA473" s="1409" t="s">
        <v>2129</v>
      </c>
      <c r="AB473" s="1409" t="s">
        <v>2129</v>
      </c>
      <c r="AC473" s="1409" t="s">
        <v>2129</v>
      </c>
      <c r="AD473" s="1409" t="s">
        <v>2129</v>
      </c>
      <c r="AE473" s="1409" t="s">
        <v>2129</v>
      </c>
      <c r="AF473" s="1409" t="s">
        <v>2129</v>
      </c>
      <c r="AG473" s="1409" t="s">
        <v>2129</v>
      </c>
    </row>
    <row r="474" spans="1:33" ht="15.75" hidden="1" thickBot="1">
      <c r="A474" s="1530"/>
      <c r="B474" s="1532"/>
      <c r="C474" s="1530"/>
      <c r="D474" s="1410" t="s">
        <v>2536</v>
      </c>
      <c r="E474" s="1528" t="s">
        <v>2129</v>
      </c>
      <c r="F474" s="1528" t="s">
        <v>2129</v>
      </c>
      <c r="G474" s="1528" t="s">
        <v>2129</v>
      </c>
      <c r="H474" s="1528" t="s">
        <v>2129</v>
      </c>
      <c r="I474" s="1528" t="s">
        <v>2129</v>
      </c>
      <c r="J474" s="1528" t="s">
        <v>2129</v>
      </c>
      <c r="K474" s="1528" t="s">
        <v>2129</v>
      </c>
      <c r="L474" s="1528" t="s">
        <v>2166</v>
      </c>
      <c r="M474" s="1528">
        <v>796</v>
      </c>
      <c r="N474" s="1528">
        <v>10</v>
      </c>
      <c r="O474" s="1528">
        <v>10</v>
      </c>
      <c r="P474" s="1528"/>
      <c r="Q474" s="1528"/>
      <c r="R474" s="1528"/>
      <c r="S474" s="1528" t="s">
        <v>2129</v>
      </c>
      <c r="T474" s="1528" t="s">
        <v>2129</v>
      </c>
      <c r="U474" s="1528" t="s">
        <v>2129</v>
      </c>
      <c r="V474" s="1528" t="s">
        <v>2129</v>
      </c>
      <c r="W474" s="1528" t="s">
        <v>2129</v>
      </c>
      <c r="X474" s="1528" t="s">
        <v>2129</v>
      </c>
      <c r="Y474" s="1528" t="s">
        <v>2129</v>
      </c>
      <c r="Z474" s="1528" t="s">
        <v>2129</v>
      </c>
      <c r="AA474" s="1528" t="s">
        <v>2129</v>
      </c>
      <c r="AB474" s="1528" t="s">
        <v>2129</v>
      </c>
      <c r="AC474" s="1528" t="s">
        <v>2129</v>
      </c>
      <c r="AD474" s="1528" t="s">
        <v>2129</v>
      </c>
      <c r="AE474" s="1528" t="s">
        <v>2129</v>
      </c>
      <c r="AF474" s="1528" t="s">
        <v>2129</v>
      </c>
      <c r="AG474" s="1528" t="s">
        <v>2129</v>
      </c>
    </row>
    <row r="475" spans="1:33" ht="68.25" hidden="1" thickBot="1">
      <c r="A475" s="1530"/>
      <c r="B475" s="1532"/>
      <c r="C475" s="1530"/>
      <c r="D475" s="1409" t="s">
        <v>2537</v>
      </c>
      <c r="E475" s="1529"/>
      <c r="F475" s="1529"/>
      <c r="G475" s="1529"/>
      <c r="H475" s="1529"/>
      <c r="I475" s="1529"/>
      <c r="J475" s="1529"/>
      <c r="K475" s="1529"/>
      <c r="L475" s="1529"/>
      <c r="M475" s="1529"/>
      <c r="N475" s="1529"/>
      <c r="O475" s="1529"/>
      <c r="P475" s="1529"/>
      <c r="Q475" s="1529"/>
      <c r="R475" s="1529"/>
      <c r="S475" s="1529"/>
      <c r="T475" s="1529"/>
      <c r="U475" s="1529"/>
      <c r="V475" s="1529"/>
      <c r="W475" s="1529"/>
      <c r="X475" s="1529"/>
      <c r="Y475" s="1529"/>
      <c r="Z475" s="1529"/>
      <c r="AA475" s="1529"/>
      <c r="AB475" s="1529"/>
      <c r="AC475" s="1529"/>
      <c r="AD475" s="1529"/>
      <c r="AE475" s="1529"/>
      <c r="AF475" s="1529"/>
      <c r="AG475" s="1529"/>
    </row>
    <row r="476" spans="1:33" ht="15.75" hidden="1" thickBot="1">
      <c r="A476" s="1530"/>
      <c r="B476" s="1532"/>
      <c r="C476" s="1530"/>
      <c r="D476" s="1409" t="s">
        <v>2536</v>
      </c>
      <c r="E476" s="1409" t="s">
        <v>2129</v>
      </c>
      <c r="F476" s="1409" t="s">
        <v>2129</v>
      </c>
      <c r="G476" s="1409" t="s">
        <v>2129</v>
      </c>
      <c r="H476" s="1409" t="s">
        <v>2129</v>
      </c>
      <c r="I476" s="1409" t="s">
        <v>2129</v>
      </c>
      <c r="J476" s="1409" t="s">
        <v>2129</v>
      </c>
      <c r="K476" s="1409" t="s">
        <v>2129</v>
      </c>
      <c r="L476" s="1409" t="s">
        <v>2166</v>
      </c>
      <c r="M476" s="1409">
        <v>796</v>
      </c>
      <c r="N476" s="1409">
        <v>5</v>
      </c>
      <c r="O476" s="1409">
        <v>5</v>
      </c>
      <c r="P476" s="1409"/>
      <c r="Q476" s="1409"/>
      <c r="R476" s="1409"/>
      <c r="S476" s="1409" t="s">
        <v>2129</v>
      </c>
      <c r="T476" s="1409" t="s">
        <v>2129</v>
      </c>
      <c r="U476" s="1409" t="s">
        <v>2129</v>
      </c>
      <c r="V476" s="1409" t="s">
        <v>2129</v>
      </c>
      <c r="W476" s="1409" t="s">
        <v>2129</v>
      </c>
      <c r="X476" s="1409" t="s">
        <v>2129</v>
      </c>
      <c r="Y476" s="1409" t="s">
        <v>2129</v>
      </c>
      <c r="Z476" s="1409" t="s">
        <v>2129</v>
      </c>
      <c r="AA476" s="1409" t="s">
        <v>2129</v>
      </c>
      <c r="AB476" s="1409" t="s">
        <v>2129</v>
      </c>
      <c r="AC476" s="1409" t="s">
        <v>2129</v>
      </c>
      <c r="AD476" s="1409" t="s">
        <v>2129</v>
      </c>
      <c r="AE476" s="1409" t="s">
        <v>2129</v>
      </c>
      <c r="AF476" s="1409" t="s">
        <v>2129</v>
      </c>
      <c r="AG476" s="1409" t="s">
        <v>2129</v>
      </c>
    </row>
    <row r="477" spans="1:33" ht="15.75" hidden="1" thickBot="1">
      <c r="A477" s="1530"/>
      <c r="B477" s="1532"/>
      <c r="C477" s="1530"/>
      <c r="D477" s="1410" t="s">
        <v>2538</v>
      </c>
      <c r="E477" s="1528" t="s">
        <v>2129</v>
      </c>
      <c r="F477" s="1528" t="s">
        <v>2129</v>
      </c>
      <c r="G477" s="1528" t="s">
        <v>2129</v>
      </c>
      <c r="H477" s="1528" t="s">
        <v>2129</v>
      </c>
      <c r="I477" s="1528" t="s">
        <v>2129</v>
      </c>
      <c r="J477" s="1528" t="s">
        <v>2129</v>
      </c>
      <c r="K477" s="1528" t="s">
        <v>2129</v>
      </c>
      <c r="L477" s="1528" t="s">
        <v>2166</v>
      </c>
      <c r="M477" s="1528">
        <v>796</v>
      </c>
      <c r="N477" s="1528">
        <v>5</v>
      </c>
      <c r="O477" s="1528">
        <v>5</v>
      </c>
      <c r="P477" s="1528"/>
      <c r="Q477" s="1528"/>
      <c r="R477" s="1528"/>
      <c r="S477" s="1528" t="s">
        <v>2129</v>
      </c>
      <c r="T477" s="1528" t="s">
        <v>2129</v>
      </c>
      <c r="U477" s="1528" t="s">
        <v>2129</v>
      </c>
      <c r="V477" s="1528" t="s">
        <v>2129</v>
      </c>
      <c r="W477" s="1528" t="s">
        <v>2129</v>
      </c>
      <c r="X477" s="1528" t="s">
        <v>2129</v>
      </c>
      <c r="Y477" s="1528" t="s">
        <v>2129</v>
      </c>
      <c r="Z477" s="1528" t="s">
        <v>2129</v>
      </c>
      <c r="AA477" s="1528" t="s">
        <v>2129</v>
      </c>
      <c r="AB477" s="1528" t="s">
        <v>2129</v>
      </c>
      <c r="AC477" s="1528" t="s">
        <v>2129</v>
      </c>
      <c r="AD477" s="1528" t="s">
        <v>2129</v>
      </c>
      <c r="AE477" s="1528" t="s">
        <v>2129</v>
      </c>
      <c r="AF477" s="1528" t="s">
        <v>2129</v>
      </c>
      <c r="AG477" s="1528" t="s">
        <v>2129</v>
      </c>
    </row>
    <row r="478" spans="1:33" ht="60" hidden="1" thickBot="1">
      <c r="A478" s="1530"/>
      <c r="B478" s="1532"/>
      <c r="C478" s="1530"/>
      <c r="D478" s="1409" t="s">
        <v>2539</v>
      </c>
      <c r="E478" s="1529"/>
      <c r="F478" s="1529"/>
      <c r="G478" s="1529"/>
      <c r="H478" s="1529"/>
      <c r="I478" s="1529"/>
      <c r="J478" s="1529"/>
      <c r="K478" s="1529"/>
      <c r="L478" s="1529"/>
      <c r="M478" s="1529"/>
      <c r="N478" s="1529"/>
      <c r="O478" s="1529"/>
      <c r="P478" s="1529"/>
      <c r="Q478" s="1529"/>
      <c r="R478" s="1529"/>
      <c r="S478" s="1529"/>
      <c r="T478" s="1529"/>
      <c r="U478" s="1529"/>
      <c r="V478" s="1529"/>
      <c r="W478" s="1529"/>
      <c r="X478" s="1529"/>
      <c r="Y478" s="1529"/>
      <c r="Z478" s="1529"/>
      <c r="AA478" s="1529"/>
      <c r="AB478" s="1529"/>
      <c r="AC478" s="1529"/>
      <c r="AD478" s="1529"/>
      <c r="AE478" s="1529"/>
      <c r="AF478" s="1529"/>
      <c r="AG478" s="1529"/>
    </row>
    <row r="479" spans="1:33" ht="15.75" hidden="1" thickBot="1">
      <c r="A479" s="1529"/>
      <c r="B479" s="1533"/>
      <c r="C479" s="1529"/>
      <c r="D479" s="1409" t="s">
        <v>2540</v>
      </c>
      <c r="E479" s="1409" t="s">
        <v>2129</v>
      </c>
      <c r="F479" s="1409" t="s">
        <v>2129</v>
      </c>
      <c r="G479" s="1409" t="s">
        <v>2129</v>
      </c>
      <c r="H479" s="1409" t="s">
        <v>2129</v>
      </c>
      <c r="I479" s="1409" t="s">
        <v>2129</v>
      </c>
      <c r="J479" s="1409" t="s">
        <v>2129</v>
      </c>
      <c r="K479" s="1409" t="s">
        <v>2129</v>
      </c>
      <c r="L479" s="1409" t="s">
        <v>2166</v>
      </c>
      <c r="M479" s="1409">
        <v>796</v>
      </c>
      <c r="N479" s="1409">
        <v>5</v>
      </c>
      <c r="O479" s="1409">
        <v>5</v>
      </c>
      <c r="P479" s="1409"/>
      <c r="Q479" s="1409"/>
      <c r="R479" s="1409"/>
      <c r="S479" s="1409" t="s">
        <v>2129</v>
      </c>
      <c r="T479" s="1409" t="s">
        <v>2129</v>
      </c>
      <c r="U479" s="1409" t="s">
        <v>2129</v>
      </c>
      <c r="V479" s="1409" t="s">
        <v>2129</v>
      </c>
      <c r="W479" s="1409" t="s">
        <v>2129</v>
      </c>
      <c r="X479" s="1409" t="s">
        <v>2129</v>
      </c>
      <c r="Y479" s="1409" t="s">
        <v>2129</v>
      </c>
      <c r="Z479" s="1409" t="s">
        <v>2129</v>
      </c>
      <c r="AA479" s="1409" t="s">
        <v>2129</v>
      </c>
      <c r="AB479" s="1409" t="s">
        <v>2129</v>
      </c>
      <c r="AC479" s="1409" t="s">
        <v>2129</v>
      </c>
      <c r="AD479" s="1409" t="s">
        <v>2129</v>
      </c>
      <c r="AE479" s="1409" t="s">
        <v>2129</v>
      </c>
      <c r="AF479" s="1409" t="s">
        <v>2129</v>
      </c>
      <c r="AG479" s="1409" t="s">
        <v>2129</v>
      </c>
    </row>
    <row r="480" spans="1:33" ht="25.5" hidden="1" customHeight="1">
      <c r="A480" s="1528">
        <v>60</v>
      </c>
      <c r="B480" s="1531">
        <v>1.7224300000000002E+35</v>
      </c>
      <c r="C480" s="1528" t="s">
        <v>2541</v>
      </c>
      <c r="D480" s="1528" t="s">
        <v>2542</v>
      </c>
      <c r="E480" s="1528">
        <v>24248</v>
      </c>
      <c r="F480" s="1528"/>
      <c r="G480" s="1528">
        <v>24248</v>
      </c>
      <c r="H480" s="1528">
        <v>24248</v>
      </c>
      <c r="I480" s="1528">
        <v>0</v>
      </c>
      <c r="J480" s="1528">
        <v>0</v>
      </c>
      <c r="K480" s="1528">
        <v>0</v>
      </c>
      <c r="L480" s="1528" t="s">
        <v>2129</v>
      </c>
      <c r="M480" s="1528" t="s">
        <v>2129</v>
      </c>
      <c r="N480" s="1528" t="s">
        <v>2129</v>
      </c>
      <c r="O480" s="1528" t="s">
        <v>2129</v>
      </c>
      <c r="P480" s="1528" t="s">
        <v>2129</v>
      </c>
      <c r="Q480" s="1528" t="s">
        <v>2129</v>
      </c>
      <c r="R480" s="1528" t="s">
        <v>2129</v>
      </c>
      <c r="S480" s="1410" t="s">
        <v>2163</v>
      </c>
      <c r="T480" s="1528"/>
      <c r="U480" s="1528"/>
      <c r="V480" s="1528">
        <v>11.201700000000001</v>
      </c>
      <c r="W480" s="1528">
        <v>12.201700000000001</v>
      </c>
      <c r="X480" s="1528" t="s">
        <v>2131</v>
      </c>
      <c r="Y480" s="1528" t="s">
        <v>2132</v>
      </c>
      <c r="Z480" s="1528" t="s">
        <v>2132</v>
      </c>
      <c r="AA480" s="1528"/>
      <c r="AB480" s="1528"/>
      <c r="AC480" s="1528"/>
      <c r="AD480" s="1528" t="s">
        <v>2133</v>
      </c>
      <c r="AE480" s="1410" t="s">
        <v>2134</v>
      </c>
      <c r="AF480" s="1528"/>
      <c r="AG480" s="1528"/>
    </row>
    <row r="481" spans="1:33" ht="84.75" hidden="1" thickBot="1">
      <c r="A481" s="1530"/>
      <c r="B481" s="1532"/>
      <c r="C481" s="1530"/>
      <c r="D481" s="1529"/>
      <c r="E481" s="1529"/>
      <c r="F481" s="1529"/>
      <c r="G481" s="1529"/>
      <c r="H481" s="1529"/>
      <c r="I481" s="1529"/>
      <c r="J481" s="1529"/>
      <c r="K481" s="1529"/>
      <c r="L481" s="1529"/>
      <c r="M481" s="1529"/>
      <c r="N481" s="1529"/>
      <c r="O481" s="1529"/>
      <c r="P481" s="1529"/>
      <c r="Q481" s="1529"/>
      <c r="R481" s="1529"/>
      <c r="S481" s="1409" t="s">
        <v>2543</v>
      </c>
      <c r="T481" s="1529"/>
      <c r="U481" s="1529"/>
      <c r="V481" s="1529"/>
      <c r="W481" s="1529"/>
      <c r="X481" s="1529"/>
      <c r="Y481" s="1529"/>
      <c r="Z481" s="1529"/>
      <c r="AA481" s="1529"/>
      <c r="AB481" s="1529"/>
      <c r="AC481" s="1529"/>
      <c r="AD481" s="1529"/>
      <c r="AE481" s="1409" t="s">
        <v>2136</v>
      </c>
      <c r="AF481" s="1529"/>
      <c r="AG481" s="1529"/>
    </row>
    <row r="482" spans="1:33" ht="18.75" hidden="1" thickBot="1">
      <c r="A482" s="1529"/>
      <c r="B482" s="1533"/>
      <c r="C482" s="1529"/>
      <c r="D482" s="1409" t="s">
        <v>2544</v>
      </c>
      <c r="E482" s="1409" t="s">
        <v>2129</v>
      </c>
      <c r="F482" s="1409" t="s">
        <v>2129</v>
      </c>
      <c r="G482" s="1409" t="s">
        <v>2129</v>
      </c>
      <c r="H482" s="1409" t="s">
        <v>2129</v>
      </c>
      <c r="I482" s="1409" t="s">
        <v>2129</v>
      </c>
      <c r="J482" s="1409" t="s">
        <v>2129</v>
      </c>
      <c r="K482" s="1409" t="s">
        <v>2129</v>
      </c>
      <c r="L482" s="1409" t="s">
        <v>2166</v>
      </c>
      <c r="M482" s="1409">
        <v>796</v>
      </c>
      <c r="N482" s="1409">
        <v>5</v>
      </c>
      <c r="O482" s="1409">
        <v>5</v>
      </c>
      <c r="P482" s="1409"/>
      <c r="Q482" s="1409"/>
      <c r="R482" s="1409"/>
      <c r="S482" s="1409" t="s">
        <v>2129</v>
      </c>
      <c r="T482" s="1409" t="s">
        <v>2129</v>
      </c>
      <c r="U482" s="1409" t="s">
        <v>2129</v>
      </c>
      <c r="V482" s="1409" t="s">
        <v>2129</v>
      </c>
      <c r="W482" s="1409" t="s">
        <v>2129</v>
      </c>
      <c r="X482" s="1409" t="s">
        <v>2129</v>
      </c>
      <c r="Y482" s="1409" t="s">
        <v>2129</v>
      </c>
      <c r="Z482" s="1409" t="s">
        <v>2129</v>
      </c>
      <c r="AA482" s="1409" t="s">
        <v>2129</v>
      </c>
      <c r="AB482" s="1409" t="s">
        <v>2129</v>
      </c>
      <c r="AC482" s="1409" t="s">
        <v>2129</v>
      </c>
      <c r="AD482" s="1409" t="s">
        <v>2129</v>
      </c>
      <c r="AE482" s="1409" t="s">
        <v>2129</v>
      </c>
      <c r="AF482" s="1409" t="s">
        <v>2129</v>
      </c>
      <c r="AG482" s="1409" t="s">
        <v>2129</v>
      </c>
    </row>
    <row r="483" spans="1:33" ht="25.5" hidden="1" customHeight="1">
      <c r="A483" s="1528">
        <v>61</v>
      </c>
      <c r="B483" s="1531">
        <v>1.7224300000000002E+35</v>
      </c>
      <c r="C483" s="1528" t="s">
        <v>2545</v>
      </c>
      <c r="D483" s="1528" t="s">
        <v>2546</v>
      </c>
      <c r="E483" s="1528">
        <v>15554</v>
      </c>
      <c r="F483" s="1528"/>
      <c r="G483" s="1528">
        <v>15554</v>
      </c>
      <c r="H483" s="1528">
        <v>15554</v>
      </c>
      <c r="I483" s="1528">
        <v>0</v>
      </c>
      <c r="J483" s="1528">
        <v>0</v>
      </c>
      <c r="K483" s="1528">
        <v>0</v>
      </c>
      <c r="L483" s="1528" t="s">
        <v>2129</v>
      </c>
      <c r="M483" s="1528" t="s">
        <v>2129</v>
      </c>
      <c r="N483" s="1528" t="s">
        <v>2129</v>
      </c>
      <c r="O483" s="1528" t="s">
        <v>2129</v>
      </c>
      <c r="P483" s="1528" t="s">
        <v>2129</v>
      </c>
      <c r="Q483" s="1528" t="s">
        <v>2129</v>
      </c>
      <c r="R483" s="1528" t="s">
        <v>2129</v>
      </c>
      <c r="S483" s="1410" t="s">
        <v>2163</v>
      </c>
      <c r="T483" s="1528"/>
      <c r="U483" s="1528"/>
      <c r="V483" s="1528">
        <v>11.201700000000001</v>
      </c>
      <c r="W483" s="1528">
        <v>12.201700000000001</v>
      </c>
      <c r="X483" s="1528" t="s">
        <v>2131</v>
      </c>
      <c r="Y483" s="1528" t="s">
        <v>2132</v>
      </c>
      <c r="Z483" s="1528" t="s">
        <v>2132</v>
      </c>
      <c r="AA483" s="1528"/>
      <c r="AB483" s="1528"/>
      <c r="AC483" s="1528"/>
      <c r="AD483" s="1528" t="s">
        <v>2133</v>
      </c>
      <c r="AE483" s="1410" t="s">
        <v>2134</v>
      </c>
      <c r="AF483" s="1528"/>
      <c r="AG483" s="1528"/>
    </row>
    <row r="484" spans="1:33" ht="76.5" hidden="1" thickBot="1">
      <c r="A484" s="1530"/>
      <c r="B484" s="1532"/>
      <c r="C484" s="1530"/>
      <c r="D484" s="1529"/>
      <c r="E484" s="1529"/>
      <c r="F484" s="1529"/>
      <c r="G484" s="1529"/>
      <c r="H484" s="1529"/>
      <c r="I484" s="1529"/>
      <c r="J484" s="1529"/>
      <c r="K484" s="1529"/>
      <c r="L484" s="1529"/>
      <c r="M484" s="1529"/>
      <c r="N484" s="1529"/>
      <c r="O484" s="1529"/>
      <c r="P484" s="1529"/>
      <c r="Q484" s="1529"/>
      <c r="R484" s="1529"/>
      <c r="S484" s="1409" t="s">
        <v>2547</v>
      </c>
      <c r="T484" s="1529"/>
      <c r="U484" s="1529"/>
      <c r="V484" s="1529"/>
      <c r="W484" s="1529"/>
      <c r="X484" s="1529"/>
      <c r="Y484" s="1529"/>
      <c r="Z484" s="1529"/>
      <c r="AA484" s="1529"/>
      <c r="AB484" s="1529"/>
      <c r="AC484" s="1529"/>
      <c r="AD484" s="1529"/>
      <c r="AE484" s="1409" t="s">
        <v>2136</v>
      </c>
      <c r="AF484" s="1529"/>
      <c r="AG484" s="1529"/>
    </row>
    <row r="485" spans="1:33" ht="15.75" hidden="1" thickBot="1">
      <c r="A485" s="1530"/>
      <c r="B485" s="1532"/>
      <c r="C485" s="1530"/>
      <c r="D485" s="1409" t="s">
        <v>2548</v>
      </c>
      <c r="E485" s="1409" t="s">
        <v>2129</v>
      </c>
      <c r="F485" s="1409" t="s">
        <v>2129</v>
      </c>
      <c r="G485" s="1409" t="s">
        <v>2129</v>
      </c>
      <c r="H485" s="1409" t="s">
        <v>2129</v>
      </c>
      <c r="I485" s="1409" t="s">
        <v>2129</v>
      </c>
      <c r="J485" s="1409" t="s">
        <v>2129</v>
      </c>
      <c r="K485" s="1409" t="s">
        <v>2129</v>
      </c>
      <c r="L485" s="1409" t="s">
        <v>2166</v>
      </c>
      <c r="M485" s="1409">
        <v>796</v>
      </c>
      <c r="N485" s="1409">
        <v>1</v>
      </c>
      <c r="O485" s="1409">
        <v>1</v>
      </c>
      <c r="P485" s="1409"/>
      <c r="Q485" s="1409"/>
      <c r="R485" s="1409"/>
      <c r="S485" s="1409" t="s">
        <v>2129</v>
      </c>
      <c r="T485" s="1409" t="s">
        <v>2129</v>
      </c>
      <c r="U485" s="1409" t="s">
        <v>2129</v>
      </c>
      <c r="V485" s="1409" t="s">
        <v>2129</v>
      </c>
      <c r="W485" s="1409" t="s">
        <v>2129</v>
      </c>
      <c r="X485" s="1409" t="s">
        <v>2129</v>
      </c>
      <c r="Y485" s="1409" t="s">
        <v>2129</v>
      </c>
      <c r="Z485" s="1409" t="s">
        <v>2129</v>
      </c>
      <c r="AA485" s="1409" t="s">
        <v>2129</v>
      </c>
      <c r="AB485" s="1409" t="s">
        <v>2129</v>
      </c>
      <c r="AC485" s="1409" t="s">
        <v>2129</v>
      </c>
      <c r="AD485" s="1409" t="s">
        <v>2129</v>
      </c>
      <c r="AE485" s="1409" t="s">
        <v>2129</v>
      </c>
      <c r="AF485" s="1409" t="s">
        <v>2129</v>
      </c>
      <c r="AG485" s="1409" t="s">
        <v>2129</v>
      </c>
    </row>
    <row r="486" spans="1:33" ht="15.75" hidden="1" thickBot="1">
      <c r="A486" s="1530"/>
      <c r="B486" s="1532"/>
      <c r="C486" s="1530"/>
      <c r="D486" s="1409" t="s">
        <v>2549</v>
      </c>
      <c r="E486" s="1409" t="s">
        <v>2129</v>
      </c>
      <c r="F486" s="1409" t="s">
        <v>2129</v>
      </c>
      <c r="G486" s="1409" t="s">
        <v>2129</v>
      </c>
      <c r="H486" s="1409" t="s">
        <v>2129</v>
      </c>
      <c r="I486" s="1409" t="s">
        <v>2129</v>
      </c>
      <c r="J486" s="1409" t="s">
        <v>2129</v>
      </c>
      <c r="K486" s="1409" t="s">
        <v>2129</v>
      </c>
      <c r="L486" s="1409" t="s">
        <v>2166</v>
      </c>
      <c r="M486" s="1409">
        <v>796</v>
      </c>
      <c r="N486" s="1409">
        <v>1</v>
      </c>
      <c r="O486" s="1409">
        <v>1</v>
      </c>
      <c r="P486" s="1409"/>
      <c r="Q486" s="1409"/>
      <c r="R486" s="1409"/>
      <c r="S486" s="1409" t="s">
        <v>2129</v>
      </c>
      <c r="T486" s="1409" t="s">
        <v>2129</v>
      </c>
      <c r="U486" s="1409" t="s">
        <v>2129</v>
      </c>
      <c r="V486" s="1409" t="s">
        <v>2129</v>
      </c>
      <c r="W486" s="1409" t="s">
        <v>2129</v>
      </c>
      <c r="X486" s="1409" t="s">
        <v>2129</v>
      </c>
      <c r="Y486" s="1409" t="s">
        <v>2129</v>
      </c>
      <c r="Z486" s="1409" t="s">
        <v>2129</v>
      </c>
      <c r="AA486" s="1409" t="s">
        <v>2129</v>
      </c>
      <c r="AB486" s="1409" t="s">
        <v>2129</v>
      </c>
      <c r="AC486" s="1409" t="s">
        <v>2129</v>
      </c>
      <c r="AD486" s="1409" t="s">
        <v>2129</v>
      </c>
      <c r="AE486" s="1409" t="s">
        <v>2129</v>
      </c>
      <c r="AF486" s="1409" t="s">
        <v>2129</v>
      </c>
      <c r="AG486" s="1409" t="s">
        <v>2129</v>
      </c>
    </row>
    <row r="487" spans="1:33" ht="18.75" hidden="1" thickBot="1">
      <c r="A487" s="1530"/>
      <c r="B487" s="1532"/>
      <c r="C487" s="1530"/>
      <c r="D487" s="1409" t="s">
        <v>2550</v>
      </c>
      <c r="E487" s="1409" t="s">
        <v>2129</v>
      </c>
      <c r="F487" s="1409" t="s">
        <v>2129</v>
      </c>
      <c r="G487" s="1409" t="s">
        <v>2129</v>
      </c>
      <c r="H487" s="1409" t="s">
        <v>2129</v>
      </c>
      <c r="I487" s="1409" t="s">
        <v>2129</v>
      </c>
      <c r="J487" s="1409" t="s">
        <v>2129</v>
      </c>
      <c r="K487" s="1409" t="s">
        <v>2129</v>
      </c>
      <c r="L487" s="1409" t="s">
        <v>2166</v>
      </c>
      <c r="M487" s="1409">
        <v>796</v>
      </c>
      <c r="N487" s="1409">
        <v>1</v>
      </c>
      <c r="O487" s="1409">
        <v>1</v>
      </c>
      <c r="P487" s="1409"/>
      <c r="Q487" s="1409"/>
      <c r="R487" s="1409"/>
      <c r="S487" s="1409" t="s">
        <v>2129</v>
      </c>
      <c r="T487" s="1409" t="s">
        <v>2129</v>
      </c>
      <c r="U487" s="1409" t="s">
        <v>2129</v>
      </c>
      <c r="V487" s="1409" t="s">
        <v>2129</v>
      </c>
      <c r="W487" s="1409" t="s">
        <v>2129</v>
      </c>
      <c r="X487" s="1409" t="s">
        <v>2129</v>
      </c>
      <c r="Y487" s="1409" t="s">
        <v>2129</v>
      </c>
      <c r="Z487" s="1409" t="s">
        <v>2129</v>
      </c>
      <c r="AA487" s="1409" t="s">
        <v>2129</v>
      </c>
      <c r="AB487" s="1409" t="s">
        <v>2129</v>
      </c>
      <c r="AC487" s="1409" t="s">
        <v>2129</v>
      </c>
      <c r="AD487" s="1409" t="s">
        <v>2129</v>
      </c>
      <c r="AE487" s="1409" t="s">
        <v>2129</v>
      </c>
      <c r="AF487" s="1409" t="s">
        <v>2129</v>
      </c>
      <c r="AG487" s="1409" t="s">
        <v>2129</v>
      </c>
    </row>
    <row r="488" spans="1:33" ht="15.75" hidden="1" thickBot="1">
      <c r="A488" s="1530"/>
      <c r="B488" s="1532"/>
      <c r="C488" s="1530"/>
      <c r="D488" s="1409" t="s">
        <v>2551</v>
      </c>
      <c r="E488" s="1409" t="s">
        <v>2129</v>
      </c>
      <c r="F488" s="1409" t="s">
        <v>2129</v>
      </c>
      <c r="G488" s="1409" t="s">
        <v>2129</v>
      </c>
      <c r="H488" s="1409" t="s">
        <v>2129</v>
      </c>
      <c r="I488" s="1409" t="s">
        <v>2129</v>
      </c>
      <c r="J488" s="1409" t="s">
        <v>2129</v>
      </c>
      <c r="K488" s="1409" t="s">
        <v>2129</v>
      </c>
      <c r="L488" s="1409" t="s">
        <v>2166</v>
      </c>
      <c r="M488" s="1409">
        <v>796</v>
      </c>
      <c r="N488" s="1409">
        <v>1</v>
      </c>
      <c r="O488" s="1409">
        <v>1</v>
      </c>
      <c r="P488" s="1409"/>
      <c r="Q488" s="1409"/>
      <c r="R488" s="1409"/>
      <c r="S488" s="1409" t="s">
        <v>2129</v>
      </c>
      <c r="T488" s="1409" t="s">
        <v>2129</v>
      </c>
      <c r="U488" s="1409" t="s">
        <v>2129</v>
      </c>
      <c r="V488" s="1409" t="s">
        <v>2129</v>
      </c>
      <c r="W488" s="1409" t="s">
        <v>2129</v>
      </c>
      <c r="X488" s="1409" t="s">
        <v>2129</v>
      </c>
      <c r="Y488" s="1409" t="s">
        <v>2129</v>
      </c>
      <c r="Z488" s="1409" t="s">
        <v>2129</v>
      </c>
      <c r="AA488" s="1409" t="s">
        <v>2129</v>
      </c>
      <c r="AB488" s="1409" t="s">
        <v>2129</v>
      </c>
      <c r="AC488" s="1409" t="s">
        <v>2129</v>
      </c>
      <c r="AD488" s="1409" t="s">
        <v>2129</v>
      </c>
      <c r="AE488" s="1409" t="s">
        <v>2129</v>
      </c>
      <c r="AF488" s="1409" t="s">
        <v>2129</v>
      </c>
      <c r="AG488" s="1409" t="s">
        <v>2129</v>
      </c>
    </row>
    <row r="489" spans="1:33" ht="18.75" hidden="1" thickBot="1">
      <c r="A489" s="1530"/>
      <c r="B489" s="1532"/>
      <c r="C489" s="1530"/>
      <c r="D489" s="1409" t="s">
        <v>2552</v>
      </c>
      <c r="E489" s="1409" t="s">
        <v>2129</v>
      </c>
      <c r="F489" s="1409" t="s">
        <v>2129</v>
      </c>
      <c r="G489" s="1409" t="s">
        <v>2129</v>
      </c>
      <c r="H489" s="1409" t="s">
        <v>2129</v>
      </c>
      <c r="I489" s="1409" t="s">
        <v>2129</v>
      </c>
      <c r="J489" s="1409" t="s">
        <v>2129</v>
      </c>
      <c r="K489" s="1409" t="s">
        <v>2129</v>
      </c>
      <c r="L489" s="1409" t="s">
        <v>2166</v>
      </c>
      <c r="M489" s="1409">
        <v>796</v>
      </c>
      <c r="N489" s="1409">
        <v>1</v>
      </c>
      <c r="O489" s="1409">
        <v>1</v>
      </c>
      <c r="P489" s="1409"/>
      <c r="Q489" s="1409"/>
      <c r="R489" s="1409"/>
      <c r="S489" s="1409" t="s">
        <v>2129</v>
      </c>
      <c r="T489" s="1409" t="s">
        <v>2129</v>
      </c>
      <c r="U489" s="1409" t="s">
        <v>2129</v>
      </c>
      <c r="V489" s="1409" t="s">
        <v>2129</v>
      </c>
      <c r="W489" s="1409" t="s">
        <v>2129</v>
      </c>
      <c r="X489" s="1409" t="s">
        <v>2129</v>
      </c>
      <c r="Y489" s="1409" t="s">
        <v>2129</v>
      </c>
      <c r="Z489" s="1409" t="s">
        <v>2129</v>
      </c>
      <c r="AA489" s="1409" t="s">
        <v>2129</v>
      </c>
      <c r="AB489" s="1409" t="s">
        <v>2129</v>
      </c>
      <c r="AC489" s="1409" t="s">
        <v>2129</v>
      </c>
      <c r="AD489" s="1409" t="s">
        <v>2129</v>
      </c>
      <c r="AE489" s="1409" t="s">
        <v>2129</v>
      </c>
      <c r="AF489" s="1409" t="s">
        <v>2129</v>
      </c>
      <c r="AG489" s="1409" t="s">
        <v>2129</v>
      </c>
    </row>
    <row r="490" spans="1:33" ht="15.75" hidden="1" thickBot="1">
      <c r="A490" s="1529"/>
      <c r="B490" s="1533"/>
      <c r="C490" s="1529"/>
      <c r="D490" s="1409" t="s">
        <v>2553</v>
      </c>
      <c r="E490" s="1409" t="s">
        <v>2129</v>
      </c>
      <c r="F490" s="1409" t="s">
        <v>2129</v>
      </c>
      <c r="G490" s="1409" t="s">
        <v>2129</v>
      </c>
      <c r="H490" s="1409" t="s">
        <v>2129</v>
      </c>
      <c r="I490" s="1409" t="s">
        <v>2129</v>
      </c>
      <c r="J490" s="1409" t="s">
        <v>2129</v>
      </c>
      <c r="K490" s="1409" t="s">
        <v>2129</v>
      </c>
      <c r="L490" s="1409" t="s">
        <v>2166</v>
      </c>
      <c r="M490" s="1409">
        <v>796</v>
      </c>
      <c r="N490" s="1409">
        <v>1</v>
      </c>
      <c r="O490" s="1409">
        <v>1</v>
      </c>
      <c r="P490" s="1409"/>
      <c r="Q490" s="1409"/>
      <c r="R490" s="1409"/>
      <c r="S490" s="1409" t="s">
        <v>2129</v>
      </c>
      <c r="T490" s="1409" t="s">
        <v>2129</v>
      </c>
      <c r="U490" s="1409" t="s">
        <v>2129</v>
      </c>
      <c r="V490" s="1409" t="s">
        <v>2129</v>
      </c>
      <c r="W490" s="1409" t="s">
        <v>2129</v>
      </c>
      <c r="X490" s="1409" t="s">
        <v>2129</v>
      </c>
      <c r="Y490" s="1409" t="s">
        <v>2129</v>
      </c>
      <c r="Z490" s="1409" t="s">
        <v>2129</v>
      </c>
      <c r="AA490" s="1409" t="s">
        <v>2129</v>
      </c>
      <c r="AB490" s="1409" t="s">
        <v>2129</v>
      </c>
      <c r="AC490" s="1409" t="s">
        <v>2129</v>
      </c>
      <c r="AD490" s="1409" t="s">
        <v>2129</v>
      </c>
      <c r="AE490" s="1409" t="s">
        <v>2129</v>
      </c>
      <c r="AF490" s="1409" t="s">
        <v>2129</v>
      </c>
      <c r="AG490" s="1409" t="s">
        <v>2129</v>
      </c>
    </row>
    <row r="491" spans="1:33" ht="25.5" hidden="1" customHeight="1">
      <c r="A491" s="1528">
        <v>62</v>
      </c>
      <c r="B491" s="1531">
        <v>1.7224300000000002E+35</v>
      </c>
      <c r="C491" s="1528" t="s">
        <v>2554</v>
      </c>
      <c r="D491" s="1528" t="s">
        <v>2555</v>
      </c>
      <c r="E491" s="1528">
        <v>91491</v>
      </c>
      <c r="F491" s="1528"/>
      <c r="G491" s="1528">
        <v>91491</v>
      </c>
      <c r="H491" s="1528">
        <v>91491</v>
      </c>
      <c r="I491" s="1528">
        <v>0</v>
      </c>
      <c r="J491" s="1528">
        <v>0</v>
      </c>
      <c r="K491" s="1528">
        <v>0</v>
      </c>
      <c r="L491" s="1528" t="s">
        <v>2129</v>
      </c>
      <c r="M491" s="1528" t="s">
        <v>2129</v>
      </c>
      <c r="N491" s="1528" t="s">
        <v>2129</v>
      </c>
      <c r="O491" s="1528" t="s">
        <v>2129</v>
      </c>
      <c r="P491" s="1528" t="s">
        <v>2129</v>
      </c>
      <c r="Q491" s="1528" t="s">
        <v>2129</v>
      </c>
      <c r="R491" s="1528" t="s">
        <v>2129</v>
      </c>
      <c r="S491" s="1410" t="s">
        <v>2163</v>
      </c>
      <c r="T491" s="1528"/>
      <c r="U491" s="1528"/>
      <c r="V491" s="1528">
        <v>3.2017000000000002</v>
      </c>
      <c r="W491" s="1528">
        <v>12.201700000000001</v>
      </c>
      <c r="X491" s="1528" t="s">
        <v>2131</v>
      </c>
      <c r="Y491" s="1528" t="s">
        <v>2132</v>
      </c>
      <c r="Z491" s="1528" t="s">
        <v>2132</v>
      </c>
      <c r="AA491" s="1528"/>
      <c r="AB491" s="1528"/>
      <c r="AC491" s="1528"/>
      <c r="AD491" s="1528" t="s">
        <v>2133</v>
      </c>
      <c r="AE491" s="1410" t="s">
        <v>2134</v>
      </c>
      <c r="AF491" s="1528"/>
      <c r="AG491" s="1528"/>
    </row>
    <row r="492" spans="1:33" ht="93" hidden="1" thickBot="1">
      <c r="A492" s="1530"/>
      <c r="B492" s="1532"/>
      <c r="C492" s="1530"/>
      <c r="D492" s="1529"/>
      <c r="E492" s="1529"/>
      <c r="F492" s="1529"/>
      <c r="G492" s="1529"/>
      <c r="H492" s="1529"/>
      <c r="I492" s="1529"/>
      <c r="J492" s="1529"/>
      <c r="K492" s="1529"/>
      <c r="L492" s="1529"/>
      <c r="M492" s="1529"/>
      <c r="N492" s="1529"/>
      <c r="O492" s="1529"/>
      <c r="P492" s="1529"/>
      <c r="Q492" s="1529"/>
      <c r="R492" s="1529"/>
      <c r="S492" s="1409" t="s">
        <v>2556</v>
      </c>
      <c r="T492" s="1529"/>
      <c r="U492" s="1529"/>
      <c r="V492" s="1529"/>
      <c r="W492" s="1529"/>
      <c r="X492" s="1529"/>
      <c r="Y492" s="1529"/>
      <c r="Z492" s="1529"/>
      <c r="AA492" s="1529"/>
      <c r="AB492" s="1529"/>
      <c r="AC492" s="1529"/>
      <c r="AD492" s="1529"/>
      <c r="AE492" s="1409" t="s">
        <v>2136</v>
      </c>
      <c r="AF492" s="1529"/>
      <c r="AG492" s="1529"/>
    </row>
    <row r="493" spans="1:33" ht="35.25" hidden="1" thickBot="1">
      <c r="A493" s="1530"/>
      <c r="B493" s="1532"/>
      <c r="C493" s="1530"/>
      <c r="D493" s="1410" t="s">
        <v>2557</v>
      </c>
      <c r="E493" s="1528" t="s">
        <v>2129</v>
      </c>
      <c r="F493" s="1528" t="s">
        <v>2129</v>
      </c>
      <c r="G493" s="1528" t="s">
        <v>2129</v>
      </c>
      <c r="H493" s="1528" t="s">
        <v>2129</v>
      </c>
      <c r="I493" s="1528" t="s">
        <v>2129</v>
      </c>
      <c r="J493" s="1528" t="s">
        <v>2129</v>
      </c>
      <c r="K493" s="1528" t="s">
        <v>2129</v>
      </c>
      <c r="L493" s="1528" t="s">
        <v>2166</v>
      </c>
      <c r="M493" s="1528">
        <v>796</v>
      </c>
      <c r="N493" s="1528">
        <v>1</v>
      </c>
      <c r="O493" s="1528">
        <v>1</v>
      </c>
      <c r="P493" s="1528"/>
      <c r="Q493" s="1528"/>
      <c r="R493" s="1528"/>
      <c r="S493" s="1528" t="s">
        <v>2129</v>
      </c>
      <c r="T493" s="1528" t="s">
        <v>2129</v>
      </c>
      <c r="U493" s="1528" t="s">
        <v>2129</v>
      </c>
      <c r="V493" s="1528" t="s">
        <v>2129</v>
      </c>
      <c r="W493" s="1528" t="s">
        <v>2129</v>
      </c>
      <c r="X493" s="1528" t="s">
        <v>2129</v>
      </c>
      <c r="Y493" s="1528" t="s">
        <v>2129</v>
      </c>
      <c r="Z493" s="1528" t="s">
        <v>2129</v>
      </c>
      <c r="AA493" s="1528" t="s">
        <v>2129</v>
      </c>
      <c r="AB493" s="1528" t="s">
        <v>2129</v>
      </c>
      <c r="AC493" s="1528" t="s">
        <v>2129</v>
      </c>
      <c r="AD493" s="1528" t="s">
        <v>2129</v>
      </c>
      <c r="AE493" s="1528" t="s">
        <v>2129</v>
      </c>
      <c r="AF493" s="1528" t="s">
        <v>2129</v>
      </c>
      <c r="AG493" s="1528" t="s">
        <v>2129</v>
      </c>
    </row>
    <row r="494" spans="1:33" ht="134.25" hidden="1" thickBot="1">
      <c r="A494" s="1530"/>
      <c r="B494" s="1532"/>
      <c r="C494" s="1530"/>
      <c r="D494" s="1409" t="s">
        <v>2558</v>
      </c>
      <c r="E494" s="1529"/>
      <c r="F494" s="1529"/>
      <c r="G494" s="1529"/>
      <c r="H494" s="1529"/>
      <c r="I494" s="1529"/>
      <c r="J494" s="1529"/>
      <c r="K494" s="1529"/>
      <c r="L494" s="1529"/>
      <c r="M494" s="1529"/>
      <c r="N494" s="1529"/>
      <c r="O494" s="1529"/>
      <c r="P494" s="1529"/>
      <c r="Q494" s="1529"/>
      <c r="R494" s="1529"/>
      <c r="S494" s="1529"/>
      <c r="T494" s="1529"/>
      <c r="U494" s="1529"/>
      <c r="V494" s="1529"/>
      <c r="W494" s="1529"/>
      <c r="X494" s="1529"/>
      <c r="Y494" s="1529"/>
      <c r="Z494" s="1529"/>
      <c r="AA494" s="1529"/>
      <c r="AB494" s="1529"/>
      <c r="AC494" s="1529"/>
      <c r="AD494" s="1529"/>
      <c r="AE494" s="1529"/>
      <c r="AF494" s="1529"/>
      <c r="AG494" s="1529"/>
    </row>
    <row r="495" spans="1:33" ht="27" hidden="1" thickBot="1">
      <c r="A495" s="1530"/>
      <c r="B495" s="1532"/>
      <c r="C495" s="1530"/>
      <c r="D495" s="1410" t="s">
        <v>2559</v>
      </c>
      <c r="E495" s="1528" t="s">
        <v>2129</v>
      </c>
      <c r="F495" s="1528" t="s">
        <v>2129</v>
      </c>
      <c r="G495" s="1528" t="s">
        <v>2129</v>
      </c>
      <c r="H495" s="1528" t="s">
        <v>2129</v>
      </c>
      <c r="I495" s="1528" t="s">
        <v>2129</v>
      </c>
      <c r="J495" s="1528" t="s">
        <v>2129</v>
      </c>
      <c r="K495" s="1528" t="s">
        <v>2129</v>
      </c>
      <c r="L495" s="1528" t="s">
        <v>2166</v>
      </c>
      <c r="M495" s="1528">
        <v>796</v>
      </c>
      <c r="N495" s="1528">
        <v>1</v>
      </c>
      <c r="O495" s="1528">
        <v>1</v>
      </c>
      <c r="P495" s="1528"/>
      <c r="Q495" s="1528"/>
      <c r="R495" s="1528"/>
      <c r="S495" s="1528" t="s">
        <v>2129</v>
      </c>
      <c r="T495" s="1528" t="s">
        <v>2129</v>
      </c>
      <c r="U495" s="1528" t="s">
        <v>2129</v>
      </c>
      <c r="V495" s="1528" t="s">
        <v>2129</v>
      </c>
      <c r="W495" s="1528" t="s">
        <v>2129</v>
      </c>
      <c r="X495" s="1528" t="s">
        <v>2129</v>
      </c>
      <c r="Y495" s="1528" t="s">
        <v>2129</v>
      </c>
      <c r="Z495" s="1528" t="s">
        <v>2129</v>
      </c>
      <c r="AA495" s="1528" t="s">
        <v>2129</v>
      </c>
      <c r="AB495" s="1528" t="s">
        <v>2129</v>
      </c>
      <c r="AC495" s="1528" t="s">
        <v>2129</v>
      </c>
      <c r="AD495" s="1528" t="s">
        <v>2129</v>
      </c>
      <c r="AE495" s="1528" t="s">
        <v>2129</v>
      </c>
      <c r="AF495" s="1528" t="s">
        <v>2129</v>
      </c>
      <c r="AG495" s="1528" t="s">
        <v>2129</v>
      </c>
    </row>
    <row r="496" spans="1:33" ht="225" hidden="1" thickBot="1">
      <c r="A496" s="1530"/>
      <c r="B496" s="1532"/>
      <c r="C496" s="1530"/>
      <c r="D496" s="1409" t="s">
        <v>2560</v>
      </c>
      <c r="E496" s="1529"/>
      <c r="F496" s="1529"/>
      <c r="G496" s="1529"/>
      <c r="H496" s="1529"/>
      <c r="I496" s="1529"/>
      <c r="J496" s="1529"/>
      <c r="K496" s="1529"/>
      <c r="L496" s="1529"/>
      <c r="M496" s="1529"/>
      <c r="N496" s="1529"/>
      <c r="O496" s="1529"/>
      <c r="P496" s="1529"/>
      <c r="Q496" s="1529"/>
      <c r="R496" s="1529"/>
      <c r="S496" s="1529"/>
      <c r="T496" s="1529"/>
      <c r="U496" s="1529"/>
      <c r="V496" s="1529"/>
      <c r="W496" s="1529"/>
      <c r="X496" s="1529"/>
      <c r="Y496" s="1529"/>
      <c r="Z496" s="1529"/>
      <c r="AA496" s="1529"/>
      <c r="AB496" s="1529"/>
      <c r="AC496" s="1529"/>
      <c r="AD496" s="1529"/>
      <c r="AE496" s="1529"/>
      <c r="AF496" s="1529"/>
      <c r="AG496" s="1529"/>
    </row>
    <row r="497" spans="1:33" ht="27" hidden="1" thickBot="1">
      <c r="A497" s="1530"/>
      <c r="B497" s="1532"/>
      <c r="C497" s="1530"/>
      <c r="D497" s="1410" t="s">
        <v>2561</v>
      </c>
      <c r="E497" s="1528" t="s">
        <v>2129</v>
      </c>
      <c r="F497" s="1528" t="s">
        <v>2129</v>
      </c>
      <c r="G497" s="1528" t="s">
        <v>2129</v>
      </c>
      <c r="H497" s="1528" t="s">
        <v>2129</v>
      </c>
      <c r="I497" s="1528" t="s">
        <v>2129</v>
      </c>
      <c r="J497" s="1528" t="s">
        <v>2129</v>
      </c>
      <c r="K497" s="1528" t="s">
        <v>2129</v>
      </c>
      <c r="L497" s="1528" t="s">
        <v>2166</v>
      </c>
      <c r="M497" s="1528">
        <v>796</v>
      </c>
      <c r="N497" s="1528">
        <v>1</v>
      </c>
      <c r="O497" s="1528">
        <v>1</v>
      </c>
      <c r="P497" s="1528"/>
      <c r="Q497" s="1528"/>
      <c r="R497" s="1528"/>
      <c r="S497" s="1528" t="s">
        <v>2129</v>
      </c>
      <c r="T497" s="1528" t="s">
        <v>2129</v>
      </c>
      <c r="U497" s="1528" t="s">
        <v>2129</v>
      </c>
      <c r="V497" s="1528" t="s">
        <v>2129</v>
      </c>
      <c r="W497" s="1528" t="s">
        <v>2129</v>
      </c>
      <c r="X497" s="1528" t="s">
        <v>2129</v>
      </c>
      <c r="Y497" s="1528" t="s">
        <v>2129</v>
      </c>
      <c r="Z497" s="1528" t="s">
        <v>2129</v>
      </c>
      <c r="AA497" s="1528" t="s">
        <v>2129</v>
      </c>
      <c r="AB497" s="1528" t="s">
        <v>2129</v>
      </c>
      <c r="AC497" s="1528" t="s">
        <v>2129</v>
      </c>
      <c r="AD497" s="1528" t="s">
        <v>2129</v>
      </c>
      <c r="AE497" s="1528" t="s">
        <v>2129</v>
      </c>
      <c r="AF497" s="1528" t="s">
        <v>2129</v>
      </c>
      <c r="AG497" s="1528" t="s">
        <v>2129</v>
      </c>
    </row>
    <row r="498" spans="1:33" ht="60" hidden="1" thickBot="1">
      <c r="A498" s="1530"/>
      <c r="B498" s="1532"/>
      <c r="C498" s="1530"/>
      <c r="D498" s="1409" t="s">
        <v>2562</v>
      </c>
      <c r="E498" s="1529"/>
      <c r="F498" s="1529"/>
      <c r="G498" s="1529"/>
      <c r="H498" s="1529"/>
      <c r="I498" s="1529"/>
      <c r="J498" s="1529"/>
      <c r="K498" s="1529"/>
      <c r="L498" s="1529"/>
      <c r="M498" s="1529"/>
      <c r="N498" s="1529"/>
      <c r="O498" s="1529"/>
      <c r="P498" s="1529"/>
      <c r="Q498" s="1529"/>
      <c r="R498" s="1529"/>
      <c r="S498" s="1529"/>
      <c r="T498" s="1529"/>
      <c r="U498" s="1529"/>
      <c r="V498" s="1529"/>
      <c r="W498" s="1529"/>
      <c r="X498" s="1529"/>
      <c r="Y498" s="1529"/>
      <c r="Z498" s="1529"/>
      <c r="AA498" s="1529"/>
      <c r="AB498" s="1529"/>
      <c r="AC498" s="1529"/>
      <c r="AD498" s="1529"/>
      <c r="AE498" s="1529"/>
      <c r="AF498" s="1529"/>
      <c r="AG498" s="1529"/>
    </row>
    <row r="499" spans="1:33" ht="18.75" hidden="1" thickBot="1">
      <c r="A499" s="1530"/>
      <c r="B499" s="1532"/>
      <c r="C499" s="1530"/>
      <c r="D499" s="1410" t="s">
        <v>2563</v>
      </c>
      <c r="E499" s="1528" t="s">
        <v>2129</v>
      </c>
      <c r="F499" s="1528" t="s">
        <v>2129</v>
      </c>
      <c r="G499" s="1528" t="s">
        <v>2129</v>
      </c>
      <c r="H499" s="1528" t="s">
        <v>2129</v>
      </c>
      <c r="I499" s="1528" t="s">
        <v>2129</v>
      </c>
      <c r="J499" s="1528" t="s">
        <v>2129</v>
      </c>
      <c r="K499" s="1528" t="s">
        <v>2129</v>
      </c>
      <c r="L499" s="1528" t="s">
        <v>2166</v>
      </c>
      <c r="M499" s="1528">
        <v>796</v>
      </c>
      <c r="N499" s="1528">
        <v>1</v>
      </c>
      <c r="O499" s="1528">
        <v>1</v>
      </c>
      <c r="P499" s="1528"/>
      <c r="Q499" s="1528"/>
      <c r="R499" s="1528"/>
      <c r="S499" s="1528" t="s">
        <v>2129</v>
      </c>
      <c r="T499" s="1528" t="s">
        <v>2129</v>
      </c>
      <c r="U499" s="1528" t="s">
        <v>2129</v>
      </c>
      <c r="V499" s="1528" t="s">
        <v>2129</v>
      </c>
      <c r="W499" s="1528" t="s">
        <v>2129</v>
      </c>
      <c r="X499" s="1528" t="s">
        <v>2129</v>
      </c>
      <c r="Y499" s="1528" t="s">
        <v>2129</v>
      </c>
      <c r="Z499" s="1528" t="s">
        <v>2129</v>
      </c>
      <c r="AA499" s="1528" t="s">
        <v>2129</v>
      </c>
      <c r="AB499" s="1528" t="s">
        <v>2129</v>
      </c>
      <c r="AC499" s="1528" t="s">
        <v>2129</v>
      </c>
      <c r="AD499" s="1528" t="s">
        <v>2129</v>
      </c>
      <c r="AE499" s="1528" t="s">
        <v>2129</v>
      </c>
      <c r="AF499" s="1528" t="s">
        <v>2129</v>
      </c>
      <c r="AG499" s="1528" t="s">
        <v>2129</v>
      </c>
    </row>
    <row r="500" spans="1:33" ht="84.75" hidden="1" thickBot="1">
      <c r="A500" s="1530"/>
      <c r="B500" s="1532"/>
      <c r="C500" s="1530"/>
      <c r="D500" s="1409" t="s">
        <v>2564</v>
      </c>
      <c r="E500" s="1529"/>
      <c r="F500" s="1529"/>
      <c r="G500" s="1529"/>
      <c r="H500" s="1529"/>
      <c r="I500" s="1529"/>
      <c r="J500" s="1529"/>
      <c r="K500" s="1529"/>
      <c r="L500" s="1529"/>
      <c r="M500" s="1529"/>
      <c r="N500" s="1529"/>
      <c r="O500" s="1529"/>
      <c r="P500" s="1529"/>
      <c r="Q500" s="1529"/>
      <c r="R500" s="1529"/>
      <c r="S500" s="1529"/>
      <c r="T500" s="1529"/>
      <c r="U500" s="1529"/>
      <c r="V500" s="1529"/>
      <c r="W500" s="1529"/>
      <c r="X500" s="1529"/>
      <c r="Y500" s="1529"/>
      <c r="Z500" s="1529"/>
      <c r="AA500" s="1529"/>
      <c r="AB500" s="1529"/>
      <c r="AC500" s="1529"/>
      <c r="AD500" s="1529"/>
      <c r="AE500" s="1529"/>
      <c r="AF500" s="1529"/>
      <c r="AG500" s="1529"/>
    </row>
    <row r="501" spans="1:33" ht="43.5" hidden="1" thickBot="1">
      <c r="A501" s="1530"/>
      <c r="B501" s="1532"/>
      <c r="C501" s="1530"/>
      <c r="D501" s="1410" t="s">
        <v>2565</v>
      </c>
      <c r="E501" s="1528" t="s">
        <v>2129</v>
      </c>
      <c r="F501" s="1528" t="s">
        <v>2129</v>
      </c>
      <c r="G501" s="1528" t="s">
        <v>2129</v>
      </c>
      <c r="H501" s="1528" t="s">
        <v>2129</v>
      </c>
      <c r="I501" s="1528" t="s">
        <v>2129</v>
      </c>
      <c r="J501" s="1528" t="s">
        <v>2129</v>
      </c>
      <c r="K501" s="1528" t="s">
        <v>2129</v>
      </c>
      <c r="L501" s="1528" t="s">
        <v>2166</v>
      </c>
      <c r="M501" s="1528">
        <v>796</v>
      </c>
      <c r="N501" s="1528">
        <v>1</v>
      </c>
      <c r="O501" s="1528">
        <v>1</v>
      </c>
      <c r="P501" s="1528"/>
      <c r="Q501" s="1528"/>
      <c r="R501" s="1528"/>
      <c r="S501" s="1528" t="s">
        <v>2129</v>
      </c>
      <c r="T501" s="1528" t="s">
        <v>2129</v>
      </c>
      <c r="U501" s="1528" t="s">
        <v>2129</v>
      </c>
      <c r="V501" s="1528" t="s">
        <v>2129</v>
      </c>
      <c r="W501" s="1528" t="s">
        <v>2129</v>
      </c>
      <c r="X501" s="1528" t="s">
        <v>2129</v>
      </c>
      <c r="Y501" s="1528" t="s">
        <v>2129</v>
      </c>
      <c r="Z501" s="1528" t="s">
        <v>2129</v>
      </c>
      <c r="AA501" s="1528" t="s">
        <v>2129</v>
      </c>
      <c r="AB501" s="1528" t="s">
        <v>2129</v>
      </c>
      <c r="AC501" s="1528" t="s">
        <v>2129</v>
      </c>
      <c r="AD501" s="1528" t="s">
        <v>2129</v>
      </c>
      <c r="AE501" s="1528" t="s">
        <v>2129</v>
      </c>
      <c r="AF501" s="1528" t="s">
        <v>2129</v>
      </c>
      <c r="AG501" s="1528" t="s">
        <v>2129</v>
      </c>
    </row>
    <row r="502" spans="1:33" ht="282.75" hidden="1" thickBot="1">
      <c r="A502" s="1530"/>
      <c r="B502" s="1532"/>
      <c r="C502" s="1530"/>
      <c r="D502" s="1409" t="s">
        <v>2566</v>
      </c>
      <c r="E502" s="1529"/>
      <c r="F502" s="1529"/>
      <c r="G502" s="1529"/>
      <c r="H502" s="1529"/>
      <c r="I502" s="1529"/>
      <c r="J502" s="1529"/>
      <c r="K502" s="1529"/>
      <c r="L502" s="1529"/>
      <c r="M502" s="1529"/>
      <c r="N502" s="1529"/>
      <c r="O502" s="1529"/>
      <c r="P502" s="1529"/>
      <c r="Q502" s="1529"/>
      <c r="R502" s="1529"/>
      <c r="S502" s="1529"/>
      <c r="T502" s="1529"/>
      <c r="U502" s="1529"/>
      <c r="V502" s="1529"/>
      <c r="W502" s="1529"/>
      <c r="X502" s="1529"/>
      <c r="Y502" s="1529"/>
      <c r="Z502" s="1529"/>
      <c r="AA502" s="1529"/>
      <c r="AB502" s="1529"/>
      <c r="AC502" s="1529"/>
      <c r="AD502" s="1529"/>
      <c r="AE502" s="1529"/>
      <c r="AF502" s="1529"/>
      <c r="AG502" s="1529"/>
    </row>
    <row r="503" spans="1:33" ht="18.75" hidden="1" thickBot="1">
      <c r="A503" s="1530"/>
      <c r="B503" s="1532"/>
      <c r="C503" s="1530"/>
      <c r="D503" s="1410" t="s">
        <v>2567</v>
      </c>
      <c r="E503" s="1528" t="s">
        <v>2129</v>
      </c>
      <c r="F503" s="1528" t="s">
        <v>2129</v>
      </c>
      <c r="G503" s="1528" t="s">
        <v>2129</v>
      </c>
      <c r="H503" s="1528" t="s">
        <v>2129</v>
      </c>
      <c r="I503" s="1528" t="s">
        <v>2129</v>
      </c>
      <c r="J503" s="1528" t="s">
        <v>2129</v>
      </c>
      <c r="K503" s="1528" t="s">
        <v>2129</v>
      </c>
      <c r="L503" s="1528" t="s">
        <v>2166</v>
      </c>
      <c r="M503" s="1528">
        <v>796</v>
      </c>
      <c r="N503" s="1528">
        <v>1</v>
      </c>
      <c r="O503" s="1528">
        <v>1</v>
      </c>
      <c r="P503" s="1528"/>
      <c r="Q503" s="1528"/>
      <c r="R503" s="1528"/>
      <c r="S503" s="1528" t="s">
        <v>2129</v>
      </c>
      <c r="T503" s="1528" t="s">
        <v>2129</v>
      </c>
      <c r="U503" s="1528" t="s">
        <v>2129</v>
      </c>
      <c r="V503" s="1528" t="s">
        <v>2129</v>
      </c>
      <c r="W503" s="1528" t="s">
        <v>2129</v>
      </c>
      <c r="X503" s="1528" t="s">
        <v>2129</v>
      </c>
      <c r="Y503" s="1528" t="s">
        <v>2129</v>
      </c>
      <c r="Z503" s="1528" t="s">
        <v>2129</v>
      </c>
      <c r="AA503" s="1528" t="s">
        <v>2129</v>
      </c>
      <c r="AB503" s="1528" t="s">
        <v>2129</v>
      </c>
      <c r="AC503" s="1528" t="s">
        <v>2129</v>
      </c>
      <c r="AD503" s="1528" t="s">
        <v>2129</v>
      </c>
      <c r="AE503" s="1528" t="s">
        <v>2129</v>
      </c>
      <c r="AF503" s="1528" t="s">
        <v>2129</v>
      </c>
      <c r="AG503" s="1528" t="s">
        <v>2129</v>
      </c>
    </row>
    <row r="504" spans="1:33" ht="84.75" hidden="1" thickBot="1">
      <c r="A504" s="1530"/>
      <c r="B504" s="1532"/>
      <c r="C504" s="1530"/>
      <c r="D504" s="1409" t="s">
        <v>2564</v>
      </c>
      <c r="E504" s="1529"/>
      <c r="F504" s="1529"/>
      <c r="G504" s="1529"/>
      <c r="H504" s="1529"/>
      <c r="I504" s="1529"/>
      <c r="J504" s="1529"/>
      <c r="K504" s="1529"/>
      <c r="L504" s="1529"/>
      <c r="M504" s="1529"/>
      <c r="N504" s="1529"/>
      <c r="O504" s="1529"/>
      <c r="P504" s="1529"/>
      <c r="Q504" s="1529"/>
      <c r="R504" s="1529"/>
      <c r="S504" s="1529"/>
      <c r="T504" s="1529"/>
      <c r="U504" s="1529"/>
      <c r="V504" s="1529"/>
      <c r="W504" s="1529"/>
      <c r="X504" s="1529"/>
      <c r="Y504" s="1529"/>
      <c r="Z504" s="1529"/>
      <c r="AA504" s="1529"/>
      <c r="AB504" s="1529"/>
      <c r="AC504" s="1529"/>
      <c r="AD504" s="1529"/>
      <c r="AE504" s="1529"/>
      <c r="AF504" s="1529"/>
      <c r="AG504" s="1529"/>
    </row>
    <row r="505" spans="1:33" ht="18.75" hidden="1" thickBot="1">
      <c r="A505" s="1530"/>
      <c r="B505" s="1532"/>
      <c r="C505" s="1530"/>
      <c r="D505" s="1410" t="s">
        <v>2568</v>
      </c>
      <c r="E505" s="1528" t="s">
        <v>2129</v>
      </c>
      <c r="F505" s="1528" t="s">
        <v>2129</v>
      </c>
      <c r="G505" s="1528" t="s">
        <v>2129</v>
      </c>
      <c r="H505" s="1528" t="s">
        <v>2129</v>
      </c>
      <c r="I505" s="1528" t="s">
        <v>2129</v>
      </c>
      <c r="J505" s="1528" t="s">
        <v>2129</v>
      </c>
      <c r="K505" s="1528" t="s">
        <v>2129</v>
      </c>
      <c r="L505" s="1528" t="s">
        <v>2166</v>
      </c>
      <c r="M505" s="1528">
        <v>796</v>
      </c>
      <c r="N505" s="1528">
        <v>1</v>
      </c>
      <c r="O505" s="1528">
        <v>1</v>
      </c>
      <c r="P505" s="1528"/>
      <c r="Q505" s="1528"/>
      <c r="R505" s="1528"/>
      <c r="S505" s="1528" t="s">
        <v>2129</v>
      </c>
      <c r="T505" s="1528" t="s">
        <v>2129</v>
      </c>
      <c r="U505" s="1528" t="s">
        <v>2129</v>
      </c>
      <c r="V505" s="1528" t="s">
        <v>2129</v>
      </c>
      <c r="W505" s="1528" t="s">
        <v>2129</v>
      </c>
      <c r="X505" s="1528" t="s">
        <v>2129</v>
      </c>
      <c r="Y505" s="1528" t="s">
        <v>2129</v>
      </c>
      <c r="Z505" s="1528" t="s">
        <v>2129</v>
      </c>
      <c r="AA505" s="1528" t="s">
        <v>2129</v>
      </c>
      <c r="AB505" s="1528" t="s">
        <v>2129</v>
      </c>
      <c r="AC505" s="1528" t="s">
        <v>2129</v>
      </c>
      <c r="AD505" s="1528" t="s">
        <v>2129</v>
      </c>
      <c r="AE505" s="1528" t="s">
        <v>2129</v>
      </c>
      <c r="AF505" s="1528" t="s">
        <v>2129</v>
      </c>
      <c r="AG505" s="1528" t="s">
        <v>2129</v>
      </c>
    </row>
    <row r="506" spans="1:33" ht="159" hidden="1" thickBot="1">
      <c r="A506" s="1530"/>
      <c r="B506" s="1532"/>
      <c r="C506" s="1530"/>
      <c r="D506" s="1409" t="s">
        <v>2569</v>
      </c>
      <c r="E506" s="1529"/>
      <c r="F506" s="1529"/>
      <c r="G506" s="1529"/>
      <c r="H506" s="1529"/>
      <c r="I506" s="1529"/>
      <c r="J506" s="1529"/>
      <c r="K506" s="1529"/>
      <c r="L506" s="1529"/>
      <c r="M506" s="1529"/>
      <c r="N506" s="1529"/>
      <c r="O506" s="1529"/>
      <c r="P506" s="1529"/>
      <c r="Q506" s="1529"/>
      <c r="R506" s="1529"/>
      <c r="S506" s="1529"/>
      <c r="T506" s="1529"/>
      <c r="U506" s="1529"/>
      <c r="V506" s="1529"/>
      <c r="W506" s="1529"/>
      <c r="X506" s="1529"/>
      <c r="Y506" s="1529"/>
      <c r="Z506" s="1529"/>
      <c r="AA506" s="1529"/>
      <c r="AB506" s="1529"/>
      <c r="AC506" s="1529"/>
      <c r="AD506" s="1529"/>
      <c r="AE506" s="1529"/>
      <c r="AF506" s="1529"/>
      <c r="AG506" s="1529"/>
    </row>
    <row r="507" spans="1:33" ht="35.25" hidden="1" thickBot="1">
      <c r="A507" s="1530"/>
      <c r="B507" s="1532"/>
      <c r="C507" s="1530"/>
      <c r="D507" s="1410" t="s">
        <v>2570</v>
      </c>
      <c r="E507" s="1528" t="s">
        <v>2129</v>
      </c>
      <c r="F507" s="1528" t="s">
        <v>2129</v>
      </c>
      <c r="G507" s="1528" t="s">
        <v>2129</v>
      </c>
      <c r="H507" s="1528" t="s">
        <v>2129</v>
      </c>
      <c r="I507" s="1528" t="s">
        <v>2129</v>
      </c>
      <c r="J507" s="1528" t="s">
        <v>2129</v>
      </c>
      <c r="K507" s="1528" t="s">
        <v>2129</v>
      </c>
      <c r="L507" s="1528" t="s">
        <v>2166</v>
      </c>
      <c r="M507" s="1528">
        <v>796</v>
      </c>
      <c r="N507" s="1528">
        <v>1</v>
      </c>
      <c r="O507" s="1528">
        <v>1</v>
      </c>
      <c r="P507" s="1528"/>
      <c r="Q507" s="1528"/>
      <c r="R507" s="1528"/>
      <c r="S507" s="1528" t="s">
        <v>2129</v>
      </c>
      <c r="T507" s="1528" t="s">
        <v>2129</v>
      </c>
      <c r="U507" s="1528" t="s">
        <v>2129</v>
      </c>
      <c r="V507" s="1528" t="s">
        <v>2129</v>
      </c>
      <c r="W507" s="1528" t="s">
        <v>2129</v>
      </c>
      <c r="X507" s="1528" t="s">
        <v>2129</v>
      </c>
      <c r="Y507" s="1528" t="s">
        <v>2129</v>
      </c>
      <c r="Z507" s="1528" t="s">
        <v>2129</v>
      </c>
      <c r="AA507" s="1528" t="s">
        <v>2129</v>
      </c>
      <c r="AB507" s="1528" t="s">
        <v>2129</v>
      </c>
      <c r="AC507" s="1528" t="s">
        <v>2129</v>
      </c>
      <c r="AD507" s="1528" t="s">
        <v>2129</v>
      </c>
      <c r="AE507" s="1528" t="s">
        <v>2129</v>
      </c>
      <c r="AF507" s="1528" t="s">
        <v>2129</v>
      </c>
      <c r="AG507" s="1528" t="s">
        <v>2129</v>
      </c>
    </row>
    <row r="508" spans="1:33" ht="233.25" hidden="1" thickBot="1">
      <c r="A508" s="1530"/>
      <c r="B508" s="1532"/>
      <c r="C508" s="1530"/>
      <c r="D508" s="1409" t="s">
        <v>2571</v>
      </c>
      <c r="E508" s="1529"/>
      <c r="F508" s="1529"/>
      <c r="G508" s="1529"/>
      <c r="H508" s="1529"/>
      <c r="I508" s="1529"/>
      <c r="J508" s="1529"/>
      <c r="K508" s="1529"/>
      <c r="L508" s="1529"/>
      <c r="M508" s="1529"/>
      <c r="N508" s="1529"/>
      <c r="O508" s="1529"/>
      <c r="P508" s="1529"/>
      <c r="Q508" s="1529"/>
      <c r="R508" s="1529"/>
      <c r="S508" s="1529"/>
      <c r="T508" s="1529"/>
      <c r="U508" s="1529"/>
      <c r="V508" s="1529"/>
      <c r="W508" s="1529"/>
      <c r="X508" s="1529"/>
      <c r="Y508" s="1529"/>
      <c r="Z508" s="1529"/>
      <c r="AA508" s="1529"/>
      <c r="AB508" s="1529"/>
      <c r="AC508" s="1529"/>
      <c r="AD508" s="1529"/>
      <c r="AE508" s="1529"/>
      <c r="AF508" s="1529"/>
      <c r="AG508" s="1529"/>
    </row>
    <row r="509" spans="1:33" ht="18.75" hidden="1" thickBot="1">
      <c r="A509" s="1530"/>
      <c r="B509" s="1532"/>
      <c r="C509" s="1530"/>
      <c r="D509" s="1410" t="s">
        <v>2572</v>
      </c>
      <c r="E509" s="1528" t="s">
        <v>2129</v>
      </c>
      <c r="F509" s="1528" t="s">
        <v>2129</v>
      </c>
      <c r="G509" s="1528" t="s">
        <v>2129</v>
      </c>
      <c r="H509" s="1528" t="s">
        <v>2129</v>
      </c>
      <c r="I509" s="1528" t="s">
        <v>2129</v>
      </c>
      <c r="J509" s="1528" t="s">
        <v>2129</v>
      </c>
      <c r="K509" s="1528" t="s">
        <v>2129</v>
      </c>
      <c r="L509" s="1528" t="s">
        <v>2166</v>
      </c>
      <c r="M509" s="1528">
        <v>796</v>
      </c>
      <c r="N509" s="1528">
        <v>1</v>
      </c>
      <c r="O509" s="1528">
        <v>1</v>
      </c>
      <c r="P509" s="1528"/>
      <c r="Q509" s="1528"/>
      <c r="R509" s="1528"/>
      <c r="S509" s="1528" t="s">
        <v>2129</v>
      </c>
      <c r="T509" s="1528" t="s">
        <v>2129</v>
      </c>
      <c r="U509" s="1528" t="s">
        <v>2129</v>
      </c>
      <c r="V509" s="1528" t="s">
        <v>2129</v>
      </c>
      <c r="W509" s="1528" t="s">
        <v>2129</v>
      </c>
      <c r="X509" s="1528" t="s">
        <v>2129</v>
      </c>
      <c r="Y509" s="1528" t="s">
        <v>2129</v>
      </c>
      <c r="Z509" s="1528" t="s">
        <v>2129</v>
      </c>
      <c r="AA509" s="1528" t="s">
        <v>2129</v>
      </c>
      <c r="AB509" s="1528" t="s">
        <v>2129</v>
      </c>
      <c r="AC509" s="1528" t="s">
        <v>2129</v>
      </c>
      <c r="AD509" s="1528" t="s">
        <v>2129</v>
      </c>
      <c r="AE509" s="1528" t="s">
        <v>2129</v>
      </c>
      <c r="AF509" s="1528" t="s">
        <v>2129</v>
      </c>
      <c r="AG509" s="1528" t="s">
        <v>2129</v>
      </c>
    </row>
    <row r="510" spans="1:33" ht="60" hidden="1" thickBot="1">
      <c r="A510" s="1530"/>
      <c r="B510" s="1532"/>
      <c r="C510" s="1530"/>
      <c r="D510" s="1409" t="s">
        <v>2573</v>
      </c>
      <c r="E510" s="1529"/>
      <c r="F510" s="1529"/>
      <c r="G510" s="1529"/>
      <c r="H510" s="1529"/>
      <c r="I510" s="1529"/>
      <c r="J510" s="1529"/>
      <c r="K510" s="1529"/>
      <c r="L510" s="1529"/>
      <c r="M510" s="1529"/>
      <c r="N510" s="1529"/>
      <c r="O510" s="1529"/>
      <c r="P510" s="1529"/>
      <c r="Q510" s="1529"/>
      <c r="R510" s="1529"/>
      <c r="S510" s="1529"/>
      <c r="T510" s="1529"/>
      <c r="U510" s="1529"/>
      <c r="V510" s="1529"/>
      <c r="W510" s="1529"/>
      <c r="X510" s="1529"/>
      <c r="Y510" s="1529"/>
      <c r="Z510" s="1529"/>
      <c r="AA510" s="1529"/>
      <c r="AB510" s="1529"/>
      <c r="AC510" s="1529"/>
      <c r="AD510" s="1529"/>
      <c r="AE510" s="1529"/>
      <c r="AF510" s="1529"/>
      <c r="AG510" s="1529"/>
    </row>
    <row r="511" spans="1:33" ht="15.75" hidden="1" thickBot="1">
      <c r="A511" s="1530"/>
      <c r="B511" s="1532"/>
      <c r="C511" s="1530"/>
      <c r="D511" s="1410" t="s">
        <v>2574</v>
      </c>
      <c r="E511" s="1528" t="s">
        <v>2129</v>
      </c>
      <c r="F511" s="1528" t="s">
        <v>2129</v>
      </c>
      <c r="G511" s="1528" t="s">
        <v>2129</v>
      </c>
      <c r="H511" s="1528" t="s">
        <v>2129</v>
      </c>
      <c r="I511" s="1528" t="s">
        <v>2129</v>
      </c>
      <c r="J511" s="1528" t="s">
        <v>2129</v>
      </c>
      <c r="K511" s="1528" t="s">
        <v>2129</v>
      </c>
      <c r="L511" s="1528" t="s">
        <v>2166</v>
      </c>
      <c r="M511" s="1528">
        <v>796</v>
      </c>
      <c r="N511" s="1528">
        <v>1</v>
      </c>
      <c r="O511" s="1528">
        <v>1</v>
      </c>
      <c r="P511" s="1528"/>
      <c r="Q511" s="1528"/>
      <c r="R511" s="1528"/>
      <c r="S511" s="1528" t="s">
        <v>2129</v>
      </c>
      <c r="T511" s="1528" t="s">
        <v>2129</v>
      </c>
      <c r="U511" s="1528" t="s">
        <v>2129</v>
      </c>
      <c r="V511" s="1528" t="s">
        <v>2129</v>
      </c>
      <c r="W511" s="1528" t="s">
        <v>2129</v>
      </c>
      <c r="X511" s="1528" t="s">
        <v>2129</v>
      </c>
      <c r="Y511" s="1528" t="s">
        <v>2129</v>
      </c>
      <c r="Z511" s="1528" t="s">
        <v>2129</v>
      </c>
      <c r="AA511" s="1528" t="s">
        <v>2129</v>
      </c>
      <c r="AB511" s="1528" t="s">
        <v>2129</v>
      </c>
      <c r="AC511" s="1528" t="s">
        <v>2129</v>
      </c>
      <c r="AD511" s="1528" t="s">
        <v>2129</v>
      </c>
      <c r="AE511" s="1528" t="s">
        <v>2129</v>
      </c>
      <c r="AF511" s="1528" t="s">
        <v>2129</v>
      </c>
      <c r="AG511" s="1528" t="s">
        <v>2129</v>
      </c>
    </row>
    <row r="512" spans="1:33" ht="60" hidden="1" thickBot="1">
      <c r="A512" s="1530"/>
      <c r="B512" s="1532"/>
      <c r="C512" s="1530"/>
      <c r="D512" s="1409" t="s">
        <v>2573</v>
      </c>
      <c r="E512" s="1529"/>
      <c r="F512" s="1529"/>
      <c r="G512" s="1529"/>
      <c r="H512" s="1529"/>
      <c r="I512" s="1529"/>
      <c r="J512" s="1529"/>
      <c r="K512" s="1529"/>
      <c r="L512" s="1529"/>
      <c r="M512" s="1529"/>
      <c r="N512" s="1529"/>
      <c r="O512" s="1529"/>
      <c r="P512" s="1529"/>
      <c r="Q512" s="1529"/>
      <c r="R512" s="1529"/>
      <c r="S512" s="1529"/>
      <c r="T512" s="1529"/>
      <c r="U512" s="1529"/>
      <c r="V512" s="1529"/>
      <c r="W512" s="1529"/>
      <c r="X512" s="1529"/>
      <c r="Y512" s="1529"/>
      <c r="Z512" s="1529"/>
      <c r="AA512" s="1529"/>
      <c r="AB512" s="1529"/>
      <c r="AC512" s="1529"/>
      <c r="AD512" s="1529"/>
      <c r="AE512" s="1529"/>
      <c r="AF512" s="1529"/>
      <c r="AG512" s="1529"/>
    </row>
    <row r="513" spans="1:33" ht="27" hidden="1" thickBot="1">
      <c r="A513" s="1530"/>
      <c r="B513" s="1532"/>
      <c r="C513" s="1530"/>
      <c r="D513" s="1410" t="s">
        <v>2575</v>
      </c>
      <c r="E513" s="1528" t="s">
        <v>2129</v>
      </c>
      <c r="F513" s="1528" t="s">
        <v>2129</v>
      </c>
      <c r="G513" s="1528" t="s">
        <v>2129</v>
      </c>
      <c r="H513" s="1528" t="s">
        <v>2129</v>
      </c>
      <c r="I513" s="1528" t="s">
        <v>2129</v>
      </c>
      <c r="J513" s="1528" t="s">
        <v>2129</v>
      </c>
      <c r="K513" s="1528" t="s">
        <v>2129</v>
      </c>
      <c r="L513" s="1528" t="s">
        <v>2166</v>
      </c>
      <c r="M513" s="1528">
        <v>796</v>
      </c>
      <c r="N513" s="1528">
        <v>1</v>
      </c>
      <c r="O513" s="1528">
        <v>1</v>
      </c>
      <c r="P513" s="1528"/>
      <c r="Q513" s="1528"/>
      <c r="R513" s="1528"/>
      <c r="S513" s="1528" t="s">
        <v>2129</v>
      </c>
      <c r="T513" s="1528" t="s">
        <v>2129</v>
      </c>
      <c r="U513" s="1528" t="s">
        <v>2129</v>
      </c>
      <c r="V513" s="1528" t="s">
        <v>2129</v>
      </c>
      <c r="W513" s="1528" t="s">
        <v>2129</v>
      </c>
      <c r="X513" s="1528" t="s">
        <v>2129</v>
      </c>
      <c r="Y513" s="1528" t="s">
        <v>2129</v>
      </c>
      <c r="Z513" s="1528" t="s">
        <v>2129</v>
      </c>
      <c r="AA513" s="1528" t="s">
        <v>2129</v>
      </c>
      <c r="AB513" s="1528" t="s">
        <v>2129</v>
      </c>
      <c r="AC513" s="1528" t="s">
        <v>2129</v>
      </c>
      <c r="AD513" s="1528" t="s">
        <v>2129</v>
      </c>
      <c r="AE513" s="1528" t="s">
        <v>2129</v>
      </c>
      <c r="AF513" s="1528" t="s">
        <v>2129</v>
      </c>
      <c r="AG513" s="1528" t="s">
        <v>2129</v>
      </c>
    </row>
    <row r="514" spans="1:33" ht="109.5" hidden="1" thickBot="1">
      <c r="A514" s="1530"/>
      <c r="B514" s="1532"/>
      <c r="C514" s="1530"/>
      <c r="D514" s="1409" t="s">
        <v>2576</v>
      </c>
      <c r="E514" s="1529"/>
      <c r="F514" s="1529"/>
      <c r="G514" s="1529"/>
      <c r="H514" s="1529"/>
      <c r="I514" s="1529"/>
      <c r="J514" s="1529"/>
      <c r="K514" s="1529"/>
      <c r="L514" s="1529"/>
      <c r="M514" s="1529"/>
      <c r="N514" s="1529"/>
      <c r="O514" s="1529"/>
      <c r="P514" s="1529"/>
      <c r="Q514" s="1529"/>
      <c r="R514" s="1529"/>
      <c r="S514" s="1529"/>
      <c r="T514" s="1529"/>
      <c r="U514" s="1529"/>
      <c r="V514" s="1529"/>
      <c r="W514" s="1529"/>
      <c r="X514" s="1529"/>
      <c r="Y514" s="1529"/>
      <c r="Z514" s="1529"/>
      <c r="AA514" s="1529"/>
      <c r="AB514" s="1529"/>
      <c r="AC514" s="1529"/>
      <c r="AD514" s="1529"/>
      <c r="AE514" s="1529"/>
      <c r="AF514" s="1529"/>
      <c r="AG514" s="1529"/>
    </row>
    <row r="515" spans="1:33" ht="27" hidden="1" thickBot="1">
      <c r="A515" s="1530"/>
      <c r="B515" s="1532"/>
      <c r="C515" s="1530"/>
      <c r="D515" s="1410" t="s">
        <v>2577</v>
      </c>
      <c r="E515" s="1528" t="s">
        <v>2129</v>
      </c>
      <c r="F515" s="1528" t="s">
        <v>2129</v>
      </c>
      <c r="G515" s="1528" t="s">
        <v>2129</v>
      </c>
      <c r="H515" s="1528" t="s">
        <v>2129</v>
      </c>
      <c r="I515" s="1528" t="s">
        <v>2129</v>
      </c>
      <c r="J515" s="1528" t="s">
        <v>2129</v>
      </c>
      <c r="K515" s="1528" t="s">
        <v>2129</v>
      </c>
      <c r="L515" s="1528" t="s">
        <v>2166</v>
      </c>
      <c r="M515" s="1528">
        <v>796</v>
      </c>
      <c r="N515" s="1528">
        <v>1</v>
      </c>
      <c r="O515" s="1528">
        <v>1</v>
      </c>
      <c r="P515" s="1528"/>
      <c r="Q515" s="1528"/>
      <c r="R515" s="1528"/>
      <c r="S515" s="1528" t="s">
        <v>2129</v>
      </c>
      <c r="T515" s="1528" t="s">
        <v>2129</v>
      </c>
      <c r="U515" s="1528" t="s">
        <v>2129</v>
      </c>
      <c r="V515" s="1528" t="s">
        <v>2129</v>
      </c>
      <c r="W515" s="1528" t="s">
        <v>2129</v>
      </c>
      <c r="X515" s="1528" t="s">
        <v>2129</v>
      </c>
      <c r="Y515" s="1528" t="s">
        <v>2129</v>
      </c>
      <c r="Z515" s="1528" t="s">
        <v>2129</v>
      </c>
      <c r="AA515" s="1528" t="s">
        <v>2129</v>
      </c>
      <c r="AB515" s="1528" t="s">
        <v>2129</v>
      </c>
      <c r="AC515" s="1528" t="s">
        <v>2129</v>
      </c>
      <c r="AD515" s="1528" t="s">
        <v>2129</v>
      </c>
      <c r="AE515" s="1528" t="s">
        <v>2129</v>
      </c>
      <c r="AF515" s="1528" t="s">
        <v>2129</v>
      </c>
      <c r="AG515" s="1528" t="s">
        <v>2129</v>
      </c>
    </row>
    <row r="516" spans="1:33" ht="93" hidden="1" thickBot="1">
      <c r="A516" s="1530"/>
      <c r="B516" s="1532"/>
      <c r="C516" s="1530"/>
      <c r="D516" s="1409" t="s">
        <v>2578</v>
      </c>
      <c r="E516" s="1529"/>
      <c r="F516" s="1529"/>
      <c r="G516" s="1529"/>
      <c r="H516" s="1529"/>
      <c r="I516" s="1529"/>
      <c r="J516" s="1529"/>
      <c r="K516" s="1529"/>
      <c r="L516" s="1529"/>
      <c r="M516" s="1529"/>
      <c r="N516" s="1529"/>
      <c r="O516" s="1529"/>
      <c r="P516" s="1529"/>
      <c r="Q516" s="1529"/>
      <c r="R516" s="1529"/>
      <c r="S516" s="1529"/>
      <c r="T516" s="1529"/>
      <c r="U516" s="1529"/>
      <c r="V516" s="1529"/>
      <c r="W516" s="1529"/>
      <c r="X516" s="1529"/>
      <c r="Y516" s="1529"/>
      <c r="Z516" s="1529"/>
      <c r="AA516" s="1529"/>
      <c r="AB516" s="1529"/>
      <c r="AC516" s="1529"/>
      <c r="AD516" s="1529"/>
      <c r="AE516" s="1529"/>
      <c r="AF516" s="1529"/>
      <c r="AG516" s="1529"/>
    </row>
    <row r="517" spans="1:33" ht="15.75" hidden="1" thickBot="1">
      <c r="A517" s="1530"/>
      <c r="B517" s="1532"/>
      <c r="C517" s="1530"/>
      <c r="D517" s="1410" t="s">
        <v>2579</v>
      </c>
      <c r="E517" s="1528" t="s">
        <v>2129</v>
      </c>
      <c r="F517" s="1528" t="s">
        <v>2129</v>
      </c>
      <c r="G517" s="1528" t="s">
        <v>2129</v>
      </c>
      <c r="H517" s="1528" t="s">
        <v>2129</v>
      </c>
      <c r="I517" s="1528" t="s">
        <v>2129</v>
      </c>
      <c r="J517" s="1528" t="s">
        <v>2129</v>
      </c>
      <c r="K517" s="1528" t="s">
        <v>2129</v>
      </c>
      <c r="L517" s="1528" t="s">
        <v>2166</v>
      </c>
      <c r="M517" s="1528">
        <v>796</v>
      </c>
      <c r="N517" s="1528">
        <v>2</v>
      </c>
      <c r="O517" s="1528">
        <v>2</v>
      </c>
      <c r="P517" s="1528"/>
      <c r="Q517" s="1528"/>
      <c r="R517" s="1528"/>
      <c r="S517" s="1528" t="s">
        <v>2129</v>
      </c>
      <c r="T517" s="1528" t="s">
        <v>2129</v>
      </c>
      <c r="U517" s="1528" t="s">
        <v>2129</v>
      </c>
      <c r="V517" s="1528" t="s">
        <v>2129</v>
      </c>
      <c r="W517" s="1528" t="s">
        <v>2129</v>
      </c>
      <c r="X517" s="1528" t="s">
        <v>2129</v>
      </c>
      <c r="Y517" s="1528" t="s">
        <v>2129</v>
      </c>
      <c r="Z517" s="1528" t="s">
        <v>2129</v>
      </c>
      <c r="AA517" s="1528" t="s">
        <v>2129</v>
      </c>
      <c r="AB517" s="1528" t="s">
        <v>2129</v>
      </c>
      <c r="AC517" s="1528" t="s">
        <v>2129</v>
      </c>
      <c r="AD517" s="1528" t="s">
        <v>2129</v>
      </c>
      <c r="AE517" s="1528" t="s">
        <v>2129</v>
      </c>
      <c r="AF517" s="1528" t="s">
        <v>2129</v>
      </c>
      <c r="AG517" s="1528" t="s">
        <v>2129</v>
      </c>
    </row>
    <row r="518" spans="1:33" ht="68.25" hidden="1" thickBot="1">
      <c r="A518" s="1530"/>
      <c r="B518" s="1532"/>
      <c r="C518" s="1530"/>
      <c r="D518" s="1409" t="s">
        <v>2580</v>
      </c>
      <c r="E518" s="1529"/>
      <c r="F518" s="1529"/>
      <c r="G518" s="1529"/>
      <c r="H518" s="1529"/>
      <c r="I518" s="1529"/>
      <c r="J518" s="1529"/>
      <c r="K518" s="1529"/>
      <c r="L518" s="1529"/>
      <c r="M518" s="1529"/>
      <c r="N518" s="1529"/>
      <c r="O518" s="1529"/>
      <c r="P518" s="1529"/>
      <c r="Q518" s="1529"/>
      <c r="R518" s="1529"/>
      <c r="S518" s="1529"/>
      <c r="T518" s="1529"/>
      <c r="U518" s="1529"/>
      <c r="V518" s="1529"/>
      <c r="W518" s="1529"/>
      <c r="X518" s="1529"/>
      <c r="Y518" s="1529"/>
      <c r="Z518" s="1529"/>
      <c r="AA518" s="1529"/>
      <c r="AB518" s="1529"/>
      <c r="AC518" s="1529"/>
      <c r="AD518" s="1529"/>
      <c r="AE518" s="1529"/>
      <c r="AF518" s="1529"/>
      <c r="AG518" s="1529"/>
    </row>
    <row r="519" spans="1:33" ht="27" hidden="1" thickBot="1">
      <c r="A519" s="1530"/>
      <c r="B519" s="1532"/>
      <c r="C519" s="1530"/>
      <c r="D519" s="1410" t="s">
        <v>2581</v>
      </c>
      <c r="E519" s="1528" t="s">
        <v>2129</v>
      </c>
      <c r="F519" s="1528" t="s">
        <v>2129</v>
      </c>
      <c r="G519" s="1528" t="s">
        <v>2129</v>
      </c>
      <c r="H519" s="1528" t="s">
        <v>2129</v>
      </c>
      <c r="I519" s="1528" t="s">
        <v>2129</v>
      </c>
      <c r="J519" s="1528" t="s">
        <v>2129</v>
      </c>
      <c r="K519" s="1528" t="s">
        <v>2129</v>
      </c>
      <c r="L519" s="1528" t="s">
        <v>2166</v>
      </c>
      <c r="M519" s="1528">
        <v>796</v>
      </c>
      <c r="N519" s="1528">
        <v>1</v>
      </c>
      <c r="O519" s="1528">
        <v>1</v>
      </c>
      <c r="P519" s="1528"/>
      <c r="Q519" s="1528"/>
      <c r="R519" s="1528"/>
      <c r="S519" s="1528" t="s">
        <v>2129</v>
      </c>
      <c r="T519" s="1528" t="s">
        <v>2129</v>
      </c>
      <c r="U519" s="1528" t="s">
        <v>2129</v>
      </c>
      <c r="V519" s="1528" t="s">
        <v>2129</v>
      </c>
      <c r="W519" s="1528" t="s">
        <v>2129</v>
      </c>
      <c r="X519" s="1528" t="s">
        <v>2129</v>
      </c>
      <c r="Y519" s="1528" t="s">
        <v>2129</v>
      </c>
      <c r="Z519" s="1528" t="s">
        <v>2129</v>
      </c>
      <c r="AA519" s="1528" t="s">
        <v>2129</v>
      </c>
      <c r="AB519" s="1528" t="s">
        <v>2129</v>
      </c>
      <c r="AC519" s="1528" t="s">
        <v>2129</v>
      </c>
      <c r="AD519" s="1528" t="s">
        <v>2129</v>
      </c>
      <c r="AE519" s="1528" t="s">
        <v>2129</v>
      </c>
      <c r="AF519" s="1528" t="s">
        <v>2129</v>
      </c>
      <c r="AG519" s="1528" t="s">
        <v>2129</v>
      </c>
    </row>
    <row r="520" spans="1:33" ht="68.25" hidden="1" thickBot="1">
      <c r="A520" s="1530"/>
      <c r="B520" s="1532"/>
      <c r="C520" s="1530"/>
      <c r="D520" s="1409" t="s">
        <v>2582</v>
      </c>
      <c r="E520" s="1529"/>
      <c r="F520" s="1529"/>
      <c r="G520" s="1529"/>
      <c r="H520" s="1529"/>
      <c r="I520" s="1529"/>
      <c r="J520" s="1529"/>
      <c r="K520" s="1529"/>
      <c r="L520" s="1529"/>
      <c r="M520" s="1529"/>
      <c r="N520" s="1529"/>
      <c r="O520" s="1529"/>
      <c r="P520" s="1529"/>
      <c r="Q520" s="1529"/>
      <c r="R520" s="1529"/>
      <c r="S520" s="1529"/>
      <c r="T520" s="1529"/>
      <c r="U520" s="1529"/>
      <c r="V520" s="1529"/>
      <c r="W520" s="1529"/>
      <c r="X520" s="1529"/>
      <c r="Y520" s="1529"/>
      <c r="Z520" s="1529"/>
      <c r="AA520" s="1529"/>
      <c r="AB520" s="1529"/>
      <c r="AC520" s="1529"/>
      <c r="AD520" s="1529"/>
      <c r="AE520" s="1529"/>
      <c r="AF520" s="1529"/>
      <c r="AG520" s="1529"/>
    </row>
    <row r="521" spans="1:33" ht="15.75" hidden="1" thickBot="1">
      <c r="A521" s="1530"/>
      <c r="B521" s="1532"/>
      <c r="C521" s="1530"/>
      <c r="D521" s="1410" t="s">
        <v>2583</v>
      </c>
      <c r="E521" s="1528" t="s">
        <v>2129</v>
      </c>
      <c r="F521" s="1528" t="s">
        <v>2129</v>
      </c>
      <c r="G521" s="1528" t="s">
        <v>2129</v>
      </c>
      <c r="H521" s="1528" t="s">
        <v>2129</v>
      </c>
      <c r="I521" s="1528" t="s">
        <v>2129</v>
      </c>
      <c r="J521" s="1528" t="s">
        <v>2129</v>
      </c>
      <c r="K521" s="1528" t="s">
        <v>2129</v>
      </c>
      <c r="L521" s="1528" t="s">
        <v>2166</v>
      </c>
      <c r="M521" s="1528">
        <v>796</v>
      </c>
      <c r="N521" s="1528">
        <v>1</v>
      </c>
      <c r="O521" s="1528">
        <v>1</v>
      </c>
      <c r="P521" s="1528"/>
      <c r="Q521" s="1528"/>
      <c r="R521" s="1528"/>
      <c r="S521" s="1528" t="s">
        <v>2129</v>
      </c>
      <c r="T521" s="1528" t="s">
        <v>2129</v>
      </c>
      <c r="U521" s="1528" t="s">
        <v>2129</v>
      </c>
      <c r="V521" s="1528" t="s">
        <v>2129</v>
      </c>
      <c r="W521" s="1528" t="s">
        <v>2129</v>
      </c>
      <c r="X521" s="1528" t="s">
        <v>2129</v>
      </c>
      <c r="Y521" s="1528" t="s">
        <v>2129</v>
      </c>
      <c r="Z521" s="1528" t="s">
        <v>2129</v>
      </c>
      <c r="AA521" s="1528" t="s">
        <v>2129</v>
      </c>
      <c r="AB521" s="1528" t="s">
        <v>2129</v>
      </c>
      <c r="AC521" s="1528" t="s">
        <v>2129</v>
      </c>
      <c r="AD521" s="1528" t="s">
        <v>2129</v>
      </c>
      <c r="AE521" s="1528" t="s">
        <v>2129</v>
      </c>
      <c r="AF521" s="1528" t="s">
        <v>2129</v>
      </c>
      <c r="AG521" s="1528" t="s">
        <v>2129</v>
      </c>
    </row>
    <row r="522" spans="1:33" ht="76.5" hidden="1" thickBot="1">
      <c r="A522" s="1529"/>
      <c r="B522" s="1533"/>
      <c r="C522" s="1529"/>
      <c r="D522" s="1409" t="s">
        <v>2584</v>
      </c>
      <c r="E522" s="1529"/>
      <c r="F522" s="1529"/>
      <c r="G522" s="1529"/>
      <c r="H522" s="1529"/>
      <c r="I522" s="1529"/>
      <c r="J522" s="1529"/>
      <c r="K522" s="1529"/>
      <c r="L522" s="1529"/>
      <c r="M522" s="1529"/>
      <c r="N522" s="1529"/>
      <c r="O522" s="1529"/>
      <c r="P522" s="1529"/>
      <c r="Q522" s="1529"/>
      <c r="R522" s="1529"/>
      <c r="S522" s="1529"/>
      <c r="T522" s="1529"/>
      <c r="U522" s="1529"/>
      <c r="V522" s="1529"/>
      <c r="W522" s="1529"/>
      <c r="X522" s="1529"/>
      <c r="Y522" s="1529"/>
      <c r="Z522" s="1529"/>
      <c r="AA522" s="1529"/>
      <c r="AB522" s="1529"/>
      <c r="AC522" s="1529"/>
      <c r="AD522" s="1529"/>
      <c r="AE522" s="1529"/>
      <c r="AF522" s="1529"/>
      <c r="AG522" s="1529"/>
    </row>
    <row r="523" spans="1:33" ht="25.5" hidden="1" customHeight="1">
      <c r="A523" s="1528">
        <v>63</v>
      </c>
      <c r="B523" s="1531">
        <v>1.7224300000000002E+35</v>
      </c>
      <c r="C523" s="1528" t="s">
        <v>2585</v>
      </c>
      <c r="D523" s="1528" t="s">
        <v>2586</v>
      </c>
      <c r="E523" s="1528" t="s">
        <v>2587</v>
      </c>
      <c r="F523" s="1528"/>
      <c r="G523" s="1528">
        <v>23670</v>
      </c>
      <c r="H523" s="1528">
        <v>23670</v>
      </c>
      <c r="I523" s="1528">
        <v>0</v>
      </c>
      <c r="J523" s="1528">
        <v>0</v>
      </c>
      <c r="K523" s="1528">
        <v>0</v>
      </c>
      <c r="L523" s="1528" t="s">
        <v>2129</v>
      </c>
      <c r="M523" s="1528" t="s">
        <v>2129</v>
      </c>
      <c r="N523" s="1528" t="s">
        <v>2129</v>
      </c>
      <c r="O523" s="1528" t="s">
        <v>2129</v>
      </c>
      <c r="P523" s="1528" t="s">
        <v>2129</v>
      </c>
      <c r="Q523" s="1528" t="s">
        <v>2129</v>
      </c>
      <c r="R523" s="1528" t="s">
        <v>2129</v>
      </c>
      <c r="S523" s="1410" t="s">
        <v>2163</v>
      </c>
      <c r="T523" s="1528"/>
      <c r="U523" s="1528"/>
      <c r="V523" s="1528">
        <v>10.201700000000001</v>
      </c>
      <c r="W523" s="1528">
        <v>12.201700000000001</v>
      </c>
      <c r="X523" s="1528" t="s">
        <v>2131</v>
      </c>
      <c r="Y523" s="1528" t="s">
        <v>2132</v>
      </c>
      <c r="Z523" s="1528" t="s">
        <v>2132</v>
      </c>
      <c r="AA523" s="1528"/>
      <c r="AB523" s="1528"/>
      <c r="AC523" s="1528"/>
      <c r="AD523" s="1528" t="s">
        <v>2133</v>
      </c>
      <c r="AE523" s="1410" t="s">
        <v>2134</v>
      </c>
      <c r="AF523" s="1528"/>
      <c r="AG523" s="1528"/>
    </row>
    <row r="524" spans="1:33" ht="76.5" hidden="1" thickBot="1">
      <c r="A524" s="1530"/>
      <c r="B524" s="1532"/>
      <c r="C524" s="1530"/>
      <c r="D524" s="1529"/>
      <c r="E524" s="1529"/>
      <c r="F524" s="1529"/>
      <c r="G524" s="1529"/>
      <c r="H524" s="1529"/>
      <c r="I524" s="1529"/>
      <c r="J524" s="1529"/>
      <c r="K524" s="1529"/>
      <c r="L524" s="1529"/>
      <c r="M524" s="1529"/>
      <c r="N524" s="1529"/>
      <c r="O524" s="1529"/>
      <c r="P524" s="1529"/>
      <c r="Q524" s="1529"/>
      <c r="R524" s="1529"/>
      <c r="S524" s="1409" t="s">
        <v>2588</v>
      </c>
      <c r="T524" s="1529"/>
      <c r="U524" s="1529"/>
      <c r="V524" s="1529"/>
      <c r="W524" s="1529"/>
      <c r="X524" s="1529"/>
      <c r="Y524" s="1529"/>
      <c r="Z524" s="1529"/>
      <c r="AA524" s="1529"/>
      <c r="AB524" s="1529"/>
      <c r="AC524" s="1529"/>
      <c r="AD524" s="1529"/>
      <c r="AE524" s="1409" t="s">
        <v>2136</v>
      </c>
      <c r="AF524" s="1529"/>
      <c r="AG524" s="1529"/>
    </row>
    <row r="525" spans="1:33" ht="43.5" hidden="1" thickBot="1">
      <c r="A525" s="1530"/>
      <c r="B525" s="1532"/>
      <c r="C525" s="1530"/>
      <c r="D525" s="1409" t="s">
        <v>663</v>
      </c>
      <c r="E525" s="1409" t="s">
        <v>2129</v>
      </c>
      <c r="F525" s="1409" t="s">
        <v>2129</v>
      </c>
      <c r="G525" s="1409" t="s">
        <v>2129</v>
      </c>
      <c r="H525" s="1409" t="s">
        <v>2129</v>
      </c>
      <c r="I525" s="1409" t="s">
        <v>2129</v>
      </c>
      <c r="J525" s="1409" t="s">
        <v>2129</v>
      </c>
      <c r="K525" s="1409" t="s">
        <v>2129</v>
      </c>
      <c r="L525" s="1409" t="s">
        <v>2166</v>
      </c>
      <c r="M525" s="1409">
        <v>796</v>
      </c>
      <c r="N525" s="1409">
        <v>10</v>
      </c>
      <c r="O525" s="1409">
        <v>10</v>
      </c>
      <c r="P525" s="1409"/>
      <c r="Q525" s="1409"/>
      <c r="R525" s="1409"/>
      <c r="S525" s="1409" t="s">
        <v>2129</v>
      </c>
      <c r="T525" s="1409" t="s">
        <v>2129</v>
      </c>
      <c r="U525" s="1409" t="s">
        <v>2129</v>
      </c>
      <c r="V525" s="1409" t="s">
        <v>2129</v>
      </c>
      <c r="W525" s="1409" t="s">
        <v>2129</v>
      </c>
      <c r="X525" s="1409" t="s">
        <v>2129</v>
      </c>
      <c r="Y525" s="1409" t="s">
        <v>2129</v>
      </c>
      <c r="Z525" s="1409" t="s">
        <v>2129</v>
      </c>
      <c r="AA525" s="1409" t="s">
        <v>2129</v>
      </c>
      <c r="AB525" s="1409" t="s">
        <v>2129</v>
      </c>
      <c r="AC525" s="1409" t="s">
        <v>2129</v>
      </c>
      <c r="AD525" s="1409" t="s">
        <v>2129</v>
      </c>
      <c r="AE525" s="1409" t="s">
        <v>2129</v>
      </c>
      <c r="AF525" s="1409" t="s">
        <v>2129</v>
      </c>
      <c r="AG525" s="1409" t="s">
        <v>2129</v>
      </c>
    </row>
    <row r="526" spans="1:33" ht="35.25" hidden="1" thickBot="1">
      <c r="A526" s="1530"/>
      <c r="B526" s="1532"/>
      <c r="C526" s="1530"/>
      <c r="D526" s="1409" t="s">
        <v>2589</v>
      </c>
      <c r="E526" s="1409" t="s">
        <v>2129</v>
      </c>
      <c r="F526" s="1409" t="s">
        <v>2129</v>
      </c>
      <c r="G526" s="1409" t="s">
        <v>2129</v>
      </c>
      <c r="H526" s="1409" t="s">
        <v>2129</v>
      </c>
      <c r="I526" s="1409" t="s">
        <v>2129</v>
      </c>
      <c r="J526" s="1409" t="s">
        <v>2129</v>
      </c>
      <c r="K526" s="1409" t="s">
        <v>2129</v>
      </c>
      <c r="L526" s="1409" t="s">
        <v>2166</v>
      </c>
      <c r="M526" s="1409">
        <v>796</v>
      </c>
      <c r="N526" s="1409">
        <v>10</v>
      </c>
      <c r="O526" s="1409">
        <v>10</v>
      </c>
      <c r="P526" s="1409"/>
      <c r="Q526" s="1409"/>
      <c r="R526" s="1409"/>
      <c r="S526" s="1409" t="s">
        <v>2129</v>
      </c>
      <c r="T526" s="1409" t="s">
        <v>2129</v>
      </c>
      <c r="U526" s="1409" t="s">
        <v>2129</v>
      </c>
      <c r="V526" s="1409" t="s">
        <v>2129</v>
      </c>
      <c r="W526" s="1409" t="s">
        <v>2129</v>
      </c>
      <c r="X526" s="1409" t="s">
        <v>2129</v>
      </c>
      <c r="Y526" s="1409" t="s">
        <v>2129</v>
      </c>
      <c r="Z526" s="1409" t="s">
        <v>2129</v>
      </c>
      <c r="AA526" s="1409" t="s">
        <v>2129</v>
      </c>
      <c r="AB526" s="1409" t="s">
        <v>2129</v>
      </c>
      <c r="AC526" s="1409" t="s">
        <v>2129</v>
      </c>
      <c r="AD526" s="1409" t="s">
        <v>2129</v>
      </c>
      <c r="AE526" s="1409" t="s">
        <v>2129</v>
      </c>
      <c r="AF526" s="1409" t="s">
        <v>2129</v>
      </c>
      <c r="AG526" s="1409" t="s">
        <v>2129</v>
      </c>
    </row>
    <row r="527" spans="1:33" ht="43.5" hidden="1" thickBot="1">
      <c r="A527" s="1529"/>
      <c r="B527" s="1533"/>
      <c r="C527" s="1529"/>
      <c r="D527" s="1409" t="s">
        <v>2590</v>
      </c>
      <c r="E527" s="1409" t="s">
        <v>2129</v>
      </c>
      <c r="F527" s="1409" t="s">
        <v>2129</v>
      </c>
      <c r="G527" s="1409" t="s">
        <v>2129</v>
      </c>
      <c r="H527" s="1409" t="s">
        <v>2129</v>
      </c>
      <c r="I527" s="1409" t="s">
        <v>2129</v>
      </c>
      <c r="J527" s="1409" t="s">
        <v>2129</v>
      </c>
      <c r="K527" s="1409" t="s">
        <v>2129</v>
      </c>
      <c r="L527" s="1409" t="s">
        <v>1428</v>
      </c>
      <c r="M527" s="1409">
        <v>6</v>
      </c>
      <c r="N527" s="1409">
        <v>1</v>
      </c>
      <c r="O527" s="1409">
        <v>1</v>
      </c>
      <c r="P527" s="1409"/>
      <c r="Q527" s="1409"/>
      <c r="R527" s="1409"/>
      <c r="S527" s="1409" t="s">
        <v>2129</v>
      </c>
      <c r="T527" s="1409" t="s">
        <v>2129</v>
      </c>
      <c r="U527" s="1409" t="s">
        <v>2129</v>
      </c>
      <c r="V527" s="1409" t="s">
        <v>2129</v>
      </c>
      <c r="W527" s="1409" t="s">
        <v>2129</v>
      </c>
      <c r="X527" s="1409" t="s">
        <v>2129</v>
      </c>
      <c r="Y527" s="1409" t="s">
        <v>2129</v>
      </c>
      <c r="Z527" s="1409" t="s">
        <v>2129</v>
      </c>
      <c r="AA527" s="1409" t="s">
        <v>2129</v>
      </c>
      <c r="AB527" s="1409" t="s">
        <v>2129</v>
      </c>
      <c r="AC527" s="1409" t="s">
        <v>2129</v>
      </c>
      <c r="AD527" s="1409" t="s">
        <v>2129</v>
      </c>
      <c r="AE527" s="1409" t="s">
        <v>2129</v>
      </c>
      <c r="AF527" s="1409" t="s">
        <v>2129</v>
      </c>
      <c r="AG527" s="1409" t="s">
        <v>2129</v>
      </c>
    </row>
    <row r="528" spans="1:33" ht="25.5" hidden="1" customHeight="1">
      <c r="A528" s="1528">
        <v>64</v>
      </c>
      <c r="B528" s="1531">
        <v>1.7224300000000002E+35</v>
      </c>
      <c r="C528" s="1528" t="s">
        <v>2591</v>
      </c>
      <c r="D528" s="1528" t="s">
        <v>2592</v>
      </c>
      <c r="E528" s="1528">
        <v>64018.46</v>
      </c>
      <c r="F528" s="1528"/>
      <c r="G528" s="1528">
        <v>64018.46</v>
      </c>
      <c r="H528" s="1528">
        <v>64018.46</v>
      </c>
      <c r="I528" s="1528">
        <v>0</v>
      </c>
      <c r="J528" s="1528">
        <v>0</v>
      </c>
      <c r="K528" s="1528">
        <v>0</v>
      </c>
      <c r="L528" s="1528" t="s">
        <v>2129</v>
      </c>
      <c r="M528" s="1528" t="s">
        <v>2129</v>
      </c>
      <c r="N528" s="1528" t="s">
        <v>2129</v>
      </c>
      <c r="O528" s="1528" t="s">
        <v>2129</v>
      </c>
      <c r="P528" s="1528" t="s">
        <v>2129</v>
      </c>
      <c r="Q528" s="1528" t="s">
        <v>2129</v>
      </c>
      <c r="R528" s="1528" t="s">
        <v>2129</v>
      </c>
      <c r="S528" s="1410" t="s">
        <v>2163</v>
      </c>
      <c r="T528" s="1528"/>
      <c r="U528" s="1528"/>
      <c r="V528" s="1528">
        <v>4.2016999999999998</v>
      </c>
      <c r="W528" s="1528">
        <v>9.2017000000000007</v>
      </c>
      <c r="X528" s="1528" t="s">
        <v>2131</v>
      </c>
      <c r="Y528" s="1528" t="s">
        <v>2132</v>
      </c>
      <c r="Z528" s="1528" t="s">
        <v>2132</v>
      </c>
      <c r="AA528" s="1528"/>
      <c r="AB528" s="1528"/>
      <c r="AC528" s="1528"/>
      <c r="AD528" s="1528" t="s">
        <v>2133</v>
      </c>
      <c r="AE528" s="1410" t="s">
        <v>2134</v>
      </c>
      <c r="AF528" s="1528"/>
      <c r="AG528" s="1528"/>
    </row>
    <row r="529" spans="1:33" ht="76.5" hidden="1" thickBot="1">
      <c r="A529" s="1530"/>
      <c r="B529" s="1532"/>
      <c r="C529" s="1530"/>
      <c r="D529" s="1529"/>
      <c r="E529" s="1529"/>
      <c r="F529" s="1529"/>
      <c r="G529" s="1529"/>
      <c r="H529" s="1529"/>
      <c r="I529" s="1529"/>
      <c r="J529" s="1529"/>
      <c r="K529" s="1529"/>
      <c r="L529" s="1529"/>
      <c r="M529" s="1529"/>
      <c r="N529" s="1529"/>
      <c r="O529" s="1529"/>
      <c r="P529" s="1529"/>
      <c r="Q529" s="1529"/>
      <c r="R529" s="1529"/>
      <c r="S529" s="1409" t="s">
        <v>2593</v>
      </c>
      <c r="T529" s="1529"/>
      <c r="U529" s="1529"/>
      <c r="V529" s="1529"/>
      <c r="W529" s="1529"/>
      <c r="X529" s="1529"/>
      <c r="Y529" s="1529"/>
      <c r="Z529" s="1529"/>
      <c r="AA529" s="1529"/>
      <c r="AB529" s="1529"/>
      <c r="AC529" s="1529"/>
      <c r="AD529" s="1529"/>
      <c r="AE529" s="1409" t="s">
        <v>2136</v>
      </c>
      <c r="AF529" s="1529"/>
      <c r="AG529" s="1529"/>
    </row>
    <row r="530" spans="1:33" ht="18.75" hidden="1" thickBot="1">
      <c r="A530" s="1530"/>
      <c r="B530" s="1532"/>
      <c r="C530" s="1530"/>
      <c r="D530" s="1410" t="s">
        <v>2594</v>
      </c>
      <c r="E530" s="1528" t="s">
        <v>2129</v>
      </c>
      <c r="F530" s="1528" t="s">
        <v>2129</v>
      </c>
      <c r="G530" s="1528" t="s">
        <v>2129</v>
      </c>
      <c r="H530" s="1528" t="s">
        <v>2129</v>
      </c>
      <c r="I530" s="1528" t="s">
        <v>2129</v>
      </c>
      <c r="J530" s="1528" t="s">
        <v>2129</v>
      </c>
      <c r="K530" s="1528" t="s">
        <v>2129</v>
      </c>
      <c r="L530" s="1528" t="s">
        <v>2166</v>
      </c>
      <c r="M530" s="1528">
        <v>796</v>
      </c>
      <c r="N530" s="1528">
        <v>10</v>
      </c>
      <c r="O530" s="1528">
        <v>10</v>
      </c>
      <c r="P530" s="1528"/>
      <c r="Q530" s="1528"/>
      <c r="R530" s="1528"/>
      <c r="S530" s="1528" t="s">
        <v>2129</v>
      </c>
      <c r="T530" s="1528" t="s">
        <v>2129</v>
      </c>
      <c r="U530" s="1528" t="s">
        <v>2129</v>
      </c>
      <c r="V530" s="1528" t="s">
        <v>2129</v>
      </c>
      <c r="W530" s="1528" t="s">
        <v>2129</v>
      </c>
      <c r="X530" s="1528" t="s">
        <v>2129</v>
      </c>
      <c r="Y530" s="1528" t="s">
        <v>2129</v>
      </c>
      <c r="Z530" s="1528" t="s">
        <v>2129</v>
      </c>
      <c r="AA530" s="1528" t="s">
        <v>2129</v>
      </c>
      <c r="AB530" s="1528" t="s">
        <v>2129</v>
      </c>
      <c r="AC530" s="1528" t="s">
        <v>2129</v>
      </c>
      <c r="AD530" s="1528" t="s">
        <v>2129</v>
      </c>
      <c r="AE530" s="1528" t="s">
        <v>2129</v>
      </c>
      <c r="AF530" s="1528" t="s">
        <v>2129</v>
      </c>
      <c r="AG530" s="1528" t="s">
        <v>2129</v>
      </c>
    </row>
    <row r="531" spans="1:33" ht="60" hidden="1" thickBot="1">
      <c r="A531" s="1530"/>
      <c r="B531" s="1532"/>
      <c r="C531" s="1530"/>
      <c r="D531" s="1409" t="s">
        <v>2595</v>
      </c>
      <c r="E531" s="1529"/>
      <c r="F531" s="1529"/>
      <c r="G531" s="1529"/>
      <c r="H531" s="1529"/>
      <c r="I531" s="1529"/>
      <c r="J531" s="1529"/>
      <c r="K531" s="1529"/>
      <c r="L531" s="1529"/>
      <c r="M531" s="1529"/>
      <c r="N531" s="1529"/>
      <c r="O531" s="1529"/>
      <c r="P531" s="1529"/>
      <c r="Q531" s="1529"/>
      <c r="R531" s="1529"/>
      <c r="S531" s="1529"/>
      <c r="T531" s="1529"/>
      <c r="U531" s="1529"/>
      <c r="V531" s="1529"/>
      <c r="W531" s="1529"/>
      <c r="X531" s="1529"/>
      <c r="Y531" s="1529"/>
      <c r="Z531" s="1529"/>
      <c r="AA531" s="1529"/>
      <c r="AB531" s="1529"/>
      <c r="AC531" s="1529"/>
      <c r="AD531" s="1529"/>
      <c r="AE531" s="1529"/>
      <c r="AF531" s="1529"/>
      <c r="AG531" s="1529"/>
    </row>
    <row r="532" spans="1:33" ht="18.75" hidden="1" thickBot="1">
      <c r="A532" s="1530"/>
      <c r="B532" s="1532"/>
      <c r="C532" s="1530"/>
      <c r="D532" s="1410" t="s">
        <v>2596</v>
      </c>
      <c r="E532" s="1528" t="s">
        <v>2129</v>
      </c>
      <c r="F532" s="1528" t="s">
        <v>2129</v>
      </c>
      <c r="G532" s="1528" t="s">
        <v>2129</v>
      </c>
      <c r="H532" s="1528" t="s">
        <v>2129</v>
      </c>
      <c r="I532" s="1528" t="s">
        <v>2129</v>
      </c>
      <c r="J532" s="1528" t="s">
        <v>2129</v>
      </c>
      <c r="K532" s="1528" t="s">
        <v>2129</v>
      </c>
      <c r="L532" s="1528" t="s">
        <v>2166</v>
      </c>
      <c r="M532" s="1528">
        <v>796</v>
      </c>
      <c r="N532" s="1528">
        <v>20</v>
      </c>
      <c r="O532" s="1528">
        <v>20</v>
      </c>
      <c r="P532" s="1528"/>
      <c r="Q532" s="1528"/>
      <c r="R532" s="1528"/>
      <c r="S532" s="1528" t="s">
        <v>2129</v>
      </c>
      <c r="T532" s="1528" t="s">
        <v>2129</v>
      </c>
      <c r="U532" s="1528" t="s">
        <v>2129</v>
      </c>
      <c r="V532" s="1528" t="s">
        <v>2129</v>
      </c>
      <c r="W532" s="1528" t="s">
        <v>2129</v>
      </c>
      <c r="X532" s="1528" t="s">
        <v>2129</v>
      </c>
      <c r="Y532" s="1528" t="s">
        <v>2129</v>
      </c>
      <c r="Z532" s="1528" t="s">
        <v>2129</v>
      </c>
      <c r="AA532" s="1528" t="s">
        <v>2129</v>
      </c>
      <c r="AB532" s="1528" t="s">
        <v>2129</v>
      </c>
      <c r="AC532" s="1528" t="s">
        <v>2129</v>
      </c>
      <c r="AD532" s="1528" t="s">
        <v>2129</v>
      </c>
      <c r="AE532" s="1528" t="s">
        <v>2129</v>
      </c>
      <c r="AF532" s="1528" t="s">
        <v>2129</v>
      </c>
      <c r="AG532" s="1528" t="s">
        <v>2129</v>
      </c>
    </row>
    <row r="533" spans="1:33" ht="68.25" hidden="1" thickBot="1">
      <c r="A533" s="1530"/>
      <c r="B533" s="1532"/>
      <c r="C533" s="1530"/>
      <c r="D533" s="1409" t="s">
        <v>2597</v>
      </c>
      <c r="E533" s="1529"/>
      <c r="F533" s="1529"/>
      <c r="G533" s="1529"/>
      <c r="H533" s="1529"/>
      <c r="I533" s="1529"/>
      <c r="J533" s="1529"/>
      <c r="K533" s="1529"/>
      <c r="L533" s="1529"/>
      <c r="M533" s="1529"/>
      <c r="N533" s="1529"/>
      <c r="O533" s="1529"/>
      <c r="P533" s="1529"/>
      <c r="Q533" s="1529"/>
      <c r="R533" s="1529"/>
      <c r="S533" s="1529"/>
      <c r="T533" s="1529"/>
      <c r="U533" s="1529"/>
      <c r="V533" s="1529"/>
      <c r="W533" s="1529"/>
      <c r="X533" s="1529"/>
      <c r="Y533" s="1529"/>
      <c r="Z533" s="1529"/>
      <c r="AA533" s="1529"/>
      <c r="AB533" s="1529"/>
      <c r="AC533" s="1529"/>
      <c r="AD533" s="1529"/>
      <c r="AE533" s="1529"/>
      <c r="AF533" s="1529"/>
      <c r="AG533" s="1529"/>
    </row>
    <row r="534" spans="1:33" ht="18.75" hidden="1" thickBot="1">
      <c r="A534" s="1530"/>
      <c r="B534" s="1532"/>
      <c r="C534" s="1530"/>
      <c r="D534" s="1410" t="s">
        <v>2598</v>
      </c>
      <c r="E534" s="1528" t="s">
        <v>2129</v>
      </c>
      <c r="F534" s="1528" t="s">
        <v>2129</v>
      </c>
      <c r="G534" s="1528" t="s">
        <v>2129</v>
      </c>
      <c r="H534" s="1528" t="s">
        <v>2129</v>
      </c>
      <c r="I534" s="1528" t="s">
        <v>2129</v>
      </c>
      <c r="J534" s="1528" t="s">
        <v>2129</v>
      </c>
      <c r="K534" s="1528" t="s">
        <v>2129</v>
      </c>
      <c r="L534" s="1528" t="s">
        <v>2166</v>
      </c>
      <c r="M534" s="1528">
        <v>796</v>
      </c>
      <c r="N534" s="1528">
        <v>20</v>
      </c>
      <c r="O534" s="1528">
        <v>20</v>
      </c>
      <c r="P534" s="1528"/>
      <c r="Q534" s="1528"/>
      <c r="R534" s="1528"/>
      <c r="S534" s="1528" t="s">
        <v>2129</v>
      </c>
      <c r="T534" s="1528" t="s">
        <v>2129</v>
      </c>
      <c r="U534" s="1528" t="s">
        <v>2129</v>
      </c>
      <c r="V534" s="1528" t="s">
        <v>2129</v>
      </c>
      <c r="W534" s="1528" t="s">
        <v>2129</v>
      </c>
      <c r="X534" s="1528" t="s">
        <v>2129</v>
      </c>
      <c r="Y534" s="1528" t="s">
        <v>2129</v>
      </c>
      <c r="Z534" s="1528" t="s">
        <v>2129</v>
      </c>
      <c r="AA534" s="1528" t="s">
        <v>2129</v>
      </c>
      <c r="AB534" s="1528" t="s">
        <v>2129</v>
      </c>
      <c r="AC534" s="1528" t="s">
        <v>2129</v>
      </c>
      <c r="AD534" s="1528" t="s">
        <v>2129</v>
      </c>
      <c r="AE534" s="1528" t="s">
        <v>2129</v>
      </c>
      <c r="AF534" s="1528" t="s">
        <v>2129</v>
      </c>
      <c r="AG534" s="1528" t="s">
        <v>2129</v>
      </c>
    </row>
    <row r="535" spans="1:33" ht="68.25" hidden="1" thickBot="1">
      <c r="A535" s="1530"/>
      <c r="B535" s="1532"/>
      <c r="C535" s="1530"/>
      <c r="D535" s="1409" t="s">
        <v>2597</v>
      </c>
      <c r="E535" s="1529"/>
      <c r="F535" s="1529"/>
      <c r="G535" s="1529"/>
      <c r="H535" s="1529"/>
      <c r="I535" s="1529"/>
      <c r="J535" s="1529"/>
      <c r="K535" s="1529"/>
      <c r="L535" s="1529"/>
      <c r="M535" s="1529"/>
      <c r="N535" s="1529"/>
      <c r="O535" s="1529"/>
      <c r="P535" s="1529"/>
      <c r="Q535" s="1529"/>
      <c r="R535" s="1529"/>
      <c r="S535" s="1529"/>
      <c r="T535" s="1529"/>
      <c r="U535" s="1529"/>
      <c r="V535" s="1529"/>
      <c r="W535" s="1529"/>
      <c r="X535" s="1529"/>
      <c r="Y535" s="1529"/>
      <c r="Z535" s="1529"/>
      <c r="AA535" s="1529"/>
      <c r="AB535" s="1529"/>
      <c r="AC535" s="1529"/>
      <c r="AD535" s="1529"/>
      <c r="AE535" s="1529"/>
      <c r="AF535" s="1529"/>
      <c r="AG535" s="1529"/>
    </row>
    <row r="536" spans="1:33" ht="18.75" hidden="1" thickBot="1">
      <c r="A536" s="1530"/>
      <c r="B536" s="1532"/>
      <c r="C536" s="1530"/>
      <c r="D536" s="1410" t="s">
        <v>2599</v>
      </c>
      <c r="E536" s="1528" t="s">
        <v>2129</v>
      </c>
      <c r="F536" s="1528" t="s">
        <v>2129</v>
      </c>
      <c r="G536" s="1528" t="s">
        <v>2129</v>
      </c>
      <c r="H536" s="1528" t="s">
        <v>2129</v>
      </c>
      <c r="I536" s="1528" t="s">
        <v>2129</v>
      </c>
      <c r="J536" s="1528" t="s">
        <v>2129</v>
      </c>
      <c r="K536" s="1528" t="s">
        <v>2129</v>
      </c>
      <c r="L536" s="1528" t="s">
        <v>2166</v>
      </c>
      <c r="M536" s="1528">
        <v>796</v>
      </c>
      <c r="N536" s="1528">
        <v>15</v>
      </c>
      <c r="O536" s="1528">
        <v>15</v>
      </c>
      <c r="P536" s="1528"/>
      <c r="Q536" s="1528"/>
      <c r="R536" s="1528"/>
      <c r="S536" s="1528" t="s">
        <v>2129</v>
      </c>
      <c r="T536" s="1528" t="s">
        <v>2129</v>
      </c>
      <c r="U536" s="1528" t="s">
        <v>2129</v>
      </c>
      <c r="V536" s="1528" t="s">
        <v>2129</v>
      </c>
      <c r="W536" s="1528" t="s">
        <v>2129</v>
      </c>
      <c r="X536" s="1528" t="s">
        <v>2129</v>
      </c>
      <c r="Y536" s="1528" t="s">
        <v>2129</v>
      </c>
      <c r="Z536" s="1528" t="s">
        <v>2129</v>
      </c>
      <c r="AA536" s="1528" t="s">
        <v>2129</v>
      </c>
      <c r="AB536" s="1528" t="s">
        <v>2129</v>
      </c>
      <c r="AC536" s="1528" t="s">
        <v>2129</v>
      </c>
      <c r="AD536" s="1528" t="s">
        <v>2129</v>
      </c>
      <c r="AE536" s="1528" t="s">
        <v>2129</v>
      </c>
      <c r="AF536" s="1528" t="s">
        <v>2129</v>
      </c>
      <c r="AG536" s="1528" t="s">
        <v>2129</v>
      </c>
    </row>
    <row r="537" spans="1:33" ht="60" hidden="1" thickBot="1">
      <c r="A537" s="1530"/>
      <c r="B537" s="1532"/>
      <c r="C537" s="1530"/>
      <c r="D537" s="1409" t="s">
        <v>2600</v>
      </c>
      <c r="E537" s="1529"/>
      <c r="F537" s="1529"/>
      <c r="G537" s="1529"/>
      <c r="H537" s="1529"/>
      <c r="I537" s="1529"/>
      <c r="J537" s="1529"/>
      <c r="K537" s="1529"/>
      <c r="L537" s="1529"/>
      <c r="M537" s="1529"/>
      <c r="N537" s="1529"/>
      <c r="O537" s="1529"/>
      <c r="P537" s="1529"/>
      <c r="Q537" s="1529"/>
      <c r="R537" s="1529"/>
      <c r="S537" s="1529"/>
      <c r="T537" s="1529"/>
      <c r="U537" s="1529"/>
      <c r="V537" s="1529"/>
      <c r="W537" s="1529"/>
      <c r="X537" s="1529"/>
      <c r="Y537" s="1529"/>
      <c r="Z537" s="1529"/>
      <c r="AA537" s="1529"/>
      <c r="AB537" s="1529"/>
      <c r="AC537" s="1529"/>
      <c r="AD537" s="1529"/>
      <c r="AE537" s="1529"/>
      <c r="AF537" s="1529"/>
      <c r="AG537" s="1529"/>
    </row>
    <row r="538" spans="1:33" ht="18.75" hidden="1" thickBot="1">
      <c r="A538" s="1530"/>
      <c r="B538" s="1532"/>
      <c r="C538" s="1530"/>
      <c r="D538" s="1410" t="s">
        <v>2601</v>
      </c>
      <c r="E538" s="1528" t="s">
        <v>2129</v>
      </c>
      <c r="F538" s="1528" t="s">
        <v>2129</v>
      </c>
      <c r="G538" s="1528" t="s">
        <v>2129</v>
      </c>
      <c r="H538" s="1528" t="s">
        <v>2129</v>
      </c>
      <c r="I538" s="1528" t="s">
        <v>2129</v>
      </c>
      <c r="J538" s="1528" t="s">
        <v>2129</v>
      </c>
      <c r="K538" s="1528" t="s">
        <v>2129</v>
      </c>
      <c r="L538" s="1528" t="s">
        <v>2166</v>
      </c>
      <c r="M538" s="1528">
        <v>796</v>
      </c>
      <c r="N538" s="1528">
        <v>15</v>
      </c>
      <c r="O538" s="1528">
        <v>15</v>
      </c>
      <c r="P538" s="1528"/>
      <c r="Q538" s="1528"/>
      <c r="R538" s="1528"/>
      <c r="S538" s="1528" t="s">
        <v>2129</v>
      </c>
      <c r="T538" s="1528" t="s">
        <v>2129</v>
      </c>
      <c r="U538" s="1528" t="s">
        <v>2129</v>
      </c>
      <c r="V538" s="1528" t="s">
        <v>2129</v>
      </c>
      <c r="W538" s="1528" t="s">
        <v>2129</v>
      </c>
      <c r="X538" s="1528" t="s">
        <v>2129</v>
      </c>
      <c r="Y538" s="1528" t="s">
        <v>2129</v>
      </c>
      <c r="Z538" s="1528" t="s">
        <v>2129</v>
      </c>
      <c r="AA538" s="1528" t="s">
        <v>2129</v>
      </c>
      <c r="AB538" s="1528" t="s">
        <v>2129</v>
      </c>
      <c r="AC538" s="1528" t="s">
        <v>2129</v>
      </c>
      <c r="AD538" s="1528" t="s">
        <v>2129</v>
      </c>
      <c r="AE538" s="1528" t="s">
        <v>2129</v>
      </c>
      <c r="AF538" s="1528" t="s">
        <v>2129</v>
      </c>
      <c r="AG538" s="1528" t="s">
        <v>2129</v>
      </c>
    </row>
    <row r="539" spans="1:33" ht="60" hidden="1" thickBot="1">
      <c r="A539" s="1530"/>
      <c r="B539" s="1532"/>
      <c r="C539" s="1530"/>
      <c r="D539" s="1409" t="s">
        <v>2602</v>
      </c>
      <c r="E539" s="1529"/>
      <c r="F539" s="1529"/>
      <c r="G539" s="1529"/>
      <c r="H539" s="1529"/>
      <c r="I539" s="1529"/>
      <c r="J539" s="1529"/>
      <c r="K539" s="1529"/>
      <c r="L539" s="1529"/>
      <c r="M539" s="1529"/>
      <c r="N539" s="1529"/>
      <c r="O539" s="1529"/>
      <c r="P539" s="1529"/>
      <c r="Q539" s="1529"/>
      <c r="R539" s="1529"/>
      <c r="S539" s="1529"/>
      <c r="T539" s="1529"/>
      <c r="U539" s="1529"/>
      <c r="V539" s="1529"/>
      <c r="W539" s="1529"/>
      <c r="X539" s="1529"/>
      <c r="Y539" s="1529"/>
      <c r="Z539" s="1529"/>
      <c r="AA539" s="1529"/>
      <c r="AB539" s="1529"/>
      <c r="AC539" s="1529"/>
      <c r="AD539" s="1529"/>
      <c r="AE539" s="1529"/>
      <c r="AF539" s="1529"/>
      <c r="AG539" s="1529"/>
    </row>
    <row r="540" spans="1:33" ht="18.75" hidden="1" thickBot="1">
      <c r="A540" s="1530"/>
      <c r="B540" s="1532"/>
      <c r="C540" s="1530"/>
      <c r="D540" s="1410" t="s">
        <v>2603</v>
      </c>
      <c r="E540" s="1528" t="s">
        <v>2129</v>
      </c>
      <c r="F540" s="1528" t="s">
        <v>2129</v>
      </c>
      <c r="G540" s="1528" t="s">
        <v>2129</v>
      </c>
      <c r="H540" s="1528" t="s">
        <v>2129</v>
      </c>
      <c r="I540" s="1528" t="s">
        <v>2129</v>
      </c>
      <c r="J540" s="1528" t="s">
        <v>2129</v>
      </c>
      <c r="K540" s="1528" t="s">
        <v>2129</v>
      </c>
      <c r="L540" s="1528" t="s">
        <v>2166</v>
      </c>
      <c r="M540" s="1528">
        <v>796</v>
      </c>
      <c r="N540" s="1528">
        <v>10</v>
      </c>
      <c r="O540" s="1528">
        <v>10</v>
      </c>
      <c r="P540" s="1528"/>
      <c r="Q540" s="1528"/>
      <c r="R540" s="1528"/>
      <c r="S540" s="1528" t="s">
        <v>2129</v>
      </c>
      <c r="T540" s="1528" t="s">
        <v>2129</v>
      </c>
      <c r="U540" s="1528" t="s">
        <v>2129</v>
      </c>
      <c r="V540" s="1528" t="s">
        <v>2129</v>
      </c>
      <c r="W540" s="1528" t="s">
        <v>2129</v>
      </c>
      <c r="X540" s="1528" t="s">
        <v>2129</v>
      </c>
      <c r="Y540" s="1528" t="s">
        <v>2129</v>
      </c>
      <c r="Z540" s="1528" t="s">
        <v>2129</v>
      </c>
      <c r="AA540" s="1528" t="s">
        <v>2129</v>
      </c>
      <c r="AB540" s="1528" t="s">
        <v>2129</v>
      </c>
      <c r="AC540" s="1528" t="s">
        <v>2129</v>
      </c>
      <c r="AD540" s="1528" t="s">
        <v>2129</v>
      </c>
      <c r="AE540" s="1528" t="s">
        <v>2129</v>
      </c>
      <c r="AF540" s="1528" t="s">
        <v>2129</v>
      </c>
      <c r="AG540" s="1528" t="s">
        <v>2129</v>
      </c>
    </row>
    <row r="541" spans="1:33" ht="60" hidden="1" thickBot="1">
      <c r="A541" s="1530"/>
      <c r="B541" s="1532"/>
      <c r="C541" s="1530"/>
      <c r="D541" s="1409" t="s">
        <v>2602</v>
      </c>
      <c r="E541" s="1529"/>
      <c r="F541" s="1529"/>
      <c r="G541" s="1529"/>
      <c r="H541" s="1529"/>
      <c r="I541" s="1529"/>
      <c r="J541" s="1529"/>
      <c r="K541" s="1529"/>
      <c r="L541" s="1529"/>
      <c r="M541" s="1529"/>
      <c r="N541" s="1529"/>
      <c r="O541" s="1529"/>
      <c r="P541" s="1529"/>
      <c r="Q541" s="1529"/>
      <c r="R541" s="1529"/>
      <c r="S541" s="1529"/>
      <c r="T541" s="1529"/>
      <c r="U541" s="1529"/>
      <c r="V541" s="1529"/>
      <c r="W541" s="1529"/>
      <c r="X541" s="1529"/>
      <c r="Y541" s="1529"/>
      <c r="Z541" s="1529"/>
      <c r="AA541" s="1529"/>
      <c r="AB541" s="1529"/>
      <c r="AC541" s="1529"/>
      <c r="AD541" s="1529"/>
      <c r="AE541" s="1529"/>
      <c r="AF541" s="1529"/>
      <c r="AG541" s="1529"/>
    </row>
    <row r="542" spans="1:33" ht="18.75" hidden="1" thickBot="1">
      <c r="A542" s="1530"/>
      <c r="B542" s="1532"/>
      <c r="C542" s="1530"/>
      <c r="D542" s="1410" t="s">
        <v>2604</v>
      </c>
      <c r="E542" s="1528" t="s">
        <v>2129</v>
      </c>
      <c r="F542" s="1528" t="s">
        <v>2129</v>
      </c>
      <c r="G542" s="1528" t="s">
        <v>2129</v>
      </c>
      <c r="H542" s="1528" t="s">
        <v>2129</v>
      </c>
      <c r="I542" s="1528" t="s">
        <v>2129</v>
      </c>
      <c r="J542" s="1528" t="s">
        <v>2129</v>
      </c>
      <c r="K542" s="1528" t="s">
        <v>2129</v>
      </c>
      <c r="L542" s="1528" t="s">
        <v>2166</v>
      </c>
      <c r="M542" s="1528">
        <v>796</v>
      </c>
      <c r="N542" s="1528">
        <v>15</v>
      </c>
      <c r="O542" s="1528">
        <v>15</v>
      </c>
      <c r="P542" s="1528"/>
      <c r="Q542" s="1528"/>
      <c r="R542" s="1528"/>
      <c r="S542" s="1528" t="s">
        <v>2129</v>
      </c>
      <c r="T542" s="1528" t="s">
        <v>2129</v>
      </c>
      <c r="U542" s="1528" t="s">
        <v>2129</v>
      </c>
      <c r="V542" s="1528" t="s">
        <v>2129</v>
      </c>
      <c r="W542" s="1528" t="s">
        <v>2129</v>
      </c>
      <c r="X542" s="1528" t="s">
        <v>2129</v>
      </c>
      <c r="Y542" s="1528" t="s">
        <v>2129</v>
      </c>
      <c r="Z542" s="1528" t="s">
        <v>2129</v>
      </c>
      <c r="AA542" s="1528" t="s">
        <v>2129</v>
      </c>
      <c r="AB542" s="1528" t="s">
        <v>2129</v>
      </c>
      <c r="AC542" s="1528" t="s">
        <v>2129</v>
      </c>
      <c r="AD542" s="1528" t="s">
        <v>2129</v>
      </c>
      <c r="AE542" s="1528" t="s">
        <v>2129</v>
      </c>
      <c r="AF542" s="1528" t="s">
        <v>2129</v>
      </c>
      <c r="AG542" s="1528" t="s">
        <v>2129</v>
      </c>
    </row>
    <row r="543" spans="1:33" ht="60" hidden="1" thickBot="1">
      <c r="A543" s="1530"/>
      <c r="B543" s="1532"/>
      <c r="C543" s="1530"/>
      <c r="D543" s="1409" t="s">
        <v>2602</v>
      </c>
      <c r="E543" s="1529"/>
      <c r="F543" s="1529"/>
      <c r="G543" s="1529"/>
      <c r="H543" s="1529"/>
      <c r="I543" s="1529"/>
      <c r="J543" s="1529"/>
      <c r="K543" s="1529"/>
      <c r="L543" s="1529"/>
      <c r="M543" s="1529"/>
      <c r="N543" s="1529"/>
      <c r="O543" s="1529"/>
      <c r="P543" s="1529"/>
      <c r="Q543" s="1529"/>
      <c r="R543" s="1529"/>
      <c r="S543" s="1529"/>
      <c r="T543" s="1529"/>
      <c r="U543" s="1529"/>
      <c r="V543" s="1529"/>
      <c r="W543" s="1529"/>
      <c r="X543" s="1529"/>
      <c r="Y543" s="1529"/>
      <c r="Z543" s="1529"/>
      <c r="AA543" s="1529"/>
      <c r="AB543" s="1529"/>
      <c r="AC543" s="1529"/>
      <c r="AD543" s="1529"/>
      <c r="AE543" s="1529"/>
      <c r="AF543" s="1529"/>
      <c r="AG543" s="1529"/>
    </row>
    <row r="544" spans="1:33" ht="18.75" hidden="1" thickBot="1">
      <c r="A544" s="1530"/>
      <c r="B544" s="1532"/>
      <c r="C544" s="1530"/>
      <c r="D544" s="1410" t="s">
        <v>2605</v>
      </c>
      <c r="E544" s="1528" t="s">
        <v>2129</v>
      </c>
      <c r="F544" s="1528" t="s">
        <v>2129</v>
      </c>
      <c r="G544" s="1528" t="s">
        <v>2129</v>
      </c>
      <c r="H544" s="1528" t="s">
        <v>2129</v>
      </c>
      <c r="I544" s="1528" t="s">
        <v>2129</v>
      </c>
      <c r="J544" s="1528" t="s">
        <v>2129</v>
      </c>
      <c r="K544" s="1528" t="s">
        <v>2129</v>
      </c>
      <c r="L544" s="1528" t="s">
        <v>2166</v>
      </c>
      <c r="M544" s="1528">
        <v>796</v>
      </c>
      <c r="N544" s="1528">
        <v>15</v>
      </c>
      <c r="O544" s="1528">
        <v>15</v>
      </c>
      <c r="P544" s="1528"/>
      <c r="Q544" s="1528"/>
      <c r="R544" s="1528"/>
      <c r="S544" s="1528" t="s">
        <v>2129</v>
      </c>
      <c r="T544" s="1528" t="s">
        <v>2129</v>
      </c>
      <c r="U544" s="1528" t="s">
        <v>2129</v>
      </c>
      <c r="V544" s="1528" t="s">
        <v>2129</v>
      </c>
      <c r="W544" s="1528" t="s">
        <v>2129</v>
      </c>
      <c r="X544" s="1528" t="s">
        <v>2129</v>
      </c>
      <c r="Y544" s="1528" t="s">
        <v>2129</v>
      </c>
      <c r="Z544" s="1528" t="s">
        <v>2129</v>
      </c>
      <c r="AA544" s="1528" t="s">
        <v>2129</v>
      </c>
      <c r="AB544" s="1528" t="s">
        <v>2129</v>
      </c>
      <c r="AC544" s="1528" t="s">
        <v>2129</v>
      </c>
      <c r="AD544" s="1528" t="s">
        <v>2129</v>
      </c>
      <c r="AE544" s="1528" t="s">
        <v>2129</v>
      </c>
      <c r="AF544" s="1528" t="s">
        <v>2129</v>
      </c>
      <c r="AG544" s="1528" t="s">
        <v>2129</v>
      </c>
    </row>
    <row r="545" spans="1:33" ht="60" hidden="1" thickBot="1">
      <c r="A545" s="1530"/>
      <c r="B545" s="1532"/>
      <c r="C545" s="1530"/>
      <c r="D545" s="1409" t="s">
        <v>2602</v>
      </c>
      <c r="E545" s="1529"/>
      <c r="F545" s="1529"/>
      <c r="G545" s="1529"/>
      <c r="H545" s="1529"/>
      <c r="I545" s="1529"/>
      <c r="J545" s="1529"/>
      <c r="K545" s="1529"/>
      <c r="L545" s="1529"/>
      <c r="M545" s="1529"/>
      <c r="N545" s="1529"/>
      <c r="O545" s="1529"/>
      <c r="P545" s="1529"/>
      <c r="Q545" s="1529"/>
      <c r="R545" s="1529"/>
      <c r="S545" s="1529"/>
      <c r="T545" s="1529"/>
      <c r="U545" s="1529"/>
      <c r="V545" s="1529"/>
      <c r="W545" s="1529"/>
      <c r="X545" s="1529"/>
      <c r="Y545" s="1529"/>
      <c r="Z545" s="1529"/>
      <c r="AA545" s="1529"/>
      <c r="AB545" s="1529"/>
      <c r="AC545" s="1529"/>
      <c r="AD545" s="1529"/>
      <c r="AE545" s="1529"/>
      <c r="AF545" s="1529"/>
      <c r="AG545" s="1529"/>
    </row>
    <row r="546" spans="1:33" ht="18.75" hidden="1" thickBot="1">
      <c r="A546" s="1530"/>
      <c r="B546" s="1532"/>
      <c r="C546" s="1530"/>
      <c r="D546" s="1410" t="s">
        <v>2606</v>
      </c>
      <c r="E546" s="1528" t="s">
        <v>2129</v>
      </c>
      <c r="F546" s="1528" t="s">
        <v>2129</v>
      </c>
      <c r="G546" s="1528" t="s">
        <v>2129</v>
      </c>
      <c r="H546" s="1528" t="s">
        <v>2129</v>
      </c>
      <c r="I546" s="1528" t="s">
        <v>2129</v>
      </c>
      <c r="J546" s="1528" t="s">
        <v>2129</v>
      </c>
      <c r="K546" s="1528" t="s">
        <v>2129</v>
      </c>
      <c r="L546" s="1528" t="s">
        <v>2166</v>
      </c>
      <c r="M546" s="1528">
        <v>796</v>
      </c>
      <c r="N546" s="1528">
        <v>10</v>
      </c>
      <c r="O546" s="1528">
        <v>10</v>
      </c>
      <c r="P546" s="1528"/>
      <c r="Q546" s="1528"/>
      <c r="R546" s="1528"/>
      <c r="S546" s="1528" t="s">
        <v>2129</v>
      </c>
      <c r="T546" s="1528" t="s">
        <v>2129</v>
      </c>
      <c r="U546" s="1528" t="s">
        <v>2129</v>
      </c>
      <c r="V546" s="1528" t="s">
        <v>2129</v>
      </c>
      <c r="W546" s="1528" t="s">
        <v>2129</v>
      </c>
      <c r="X546" s="1528" t="s">
        <v>2129</v>
      </c>
      <c r="Y546" s="1528" t="s">
        <v>2129</v>
      </c>
      <c r="Z546" s="1528" t="s">
        <v>2129</v>
      </c>
      <c r="AA546" s="1528" t="s">
        <v>2129</v>
      </c>
      <c r="AB546" s="1528" t="s">
        <v>2129</v>
      </c>
      <c r="AC546" s="1528" t="s">
        <v>2129</v>
      </c>
      <c r="AD546" s="1528" t="s">
        <v>2129</v>
      </c>
      <c r="AE546" s="1528" t="s">
        <v>2129</v>
      </c>
      <c r="AF546" s="1528" t="s">
        <v>2129</v>
      </c>
      <c r="AG546" s="1528" t="s">
        <v>2129</v>
      </c>
    </row>
    <row r="547" spans="1:33" ht="60" hidden="1" thickBot="1">
      <c r="A547" s="1529"/>
      <c r="B547" s="1533"/>
      <c r="C547" s="1529"/>
      <c r="D547" s="1409" t="s">
        <v>2602</v>
      </c>
      <c r="E547" s="1529"/>
      <c r="F547" s="1529"/>
      <c r="G547" s="1529"/>
      <c r="H547" s="1529"/>
      <c r="I547" s="1529"/>
      <c r="J547" s="1529"/>
      <c r="K547" s="1529"/>
      <c r="L547" s="1529"/>
      <c r="M547" s="1529"/>
      <c r="N547" s="1529"/>
      <c r="O547" s="1529"/>
      <c r="P547" s="1529"/>
      <c r="Q547" s="1529"/>
      <c r="R547" s="1529"/>
      <c r="S547" s="1529"/>
      <c r="T547" s="1529"/>
      <c r="U547" s="1529"/>
      <c r="V547" s="1529"/>
      <c r="W547" s="1529"/>
      <c r="X547" s="1529"/>
      <c r="Y547" s="1529"/>
      <c r="Z547" s="1529"/>
      <c r="AA547" s="1529"/>
      <c r="AB547" s="1529"/>
      <c r="AC547" s="1529"/>
      <c r="AD547" s="1529"/>
      <c r="AE547" s="1529"/>
      <c r="AF547" s="1529"/>
      <c r="AG547" s="1529"/>
    </row>
    <row r="548" spans="1:33" ht="23.25" hidden="1" customHeight="1" thickBot="1">
      <c r="A548" s="1528">
        <v>65</v>
      </c>
      <c r="B548" s="1531">
        <v>1.7224300000000002E+35</v>
      </c>
      <c r="C548" s="1528" t="s">
        <v>2607</v>
      </c>
      <c r="D548" s="1528" t="s">
        <v>2608</v>
      </c>
      <c r="E548" s="1528">
        <v>14717.1</v>
      </c>
      <c r="F548" s="1528"/>
      <c r="G548" s="1528">
        <v>14717.1</v>
      </c>
      <c r="H548" s="1528">
        <v>14717.1</v>
      </c>
      <c r="I548" s="1528">
        <v>0</v>
      </c>
      <c r="J548" s="1528">
        <v>0</v>
      </c>
      <c r="K548" s="1528">
        <v>0</v>
      </c>
      <c r="L548" s="1528" t="s">
        <v>2129</v>
      </c>
      <c r="M548" s="1528" t="s">
        <v>2129</v>
      </c>
      <c r="N548" s="1528" t="s">
        <v>2129</v>
      </c>
      <c r="O548" s="1528" t="s">
        <v>2129</v>
      </c>
      <c r="P548" s="1528" t="s">
        <v>2129</v>
      </c>
      <c r="Q548" s="1528" t="s">
        <v>2129</v>
      </c>
      <c r="R548" s="1528" t="s">
        <v>2129</v>
      </c>
      <c r="S548" s="1410" t="s">
        <v>2149</v>
      </c>
      <c r="T548" s="1528">
        <v>147.16999999999999</v>
      </c>
      <c r="U548" s="1528">
        <v>1115.56</v>
      </c>
      <c r="V548" s="1528">
        <v>5.2016999999999998</v>
      </c>
      <c r="W548" s="1528">
        <v>12.201700000000001</v>
      </c>
      <c r="X548" s="1528" t="s">
        <v>2281</v>
      </c>
      <c r="Y548" s="1528" t="s">
        <v>2282</v>
      </c>
      <c r="Z548" s="1528" t="s">
        <v>2132</v>
      </c>
      <c r="AA548" s="1528"/>
      <c r="AB548" s="1528"/>
      <c r="AC548" s="1528"/>
      <c r="AD548" s="1528" t="s">
        <v>2609</v>
      </c>
      <c r="AE548" s="1410" t="s">
        <v>2134</v>
      </c>
      <c r="AF548" s="1528"/>
      <c r="AG548" s="1528" t="s">
        <v>2283</v>
      </c>
    </row>
    <row r="549" spans="1:33" ht="101.25" hidden="1" thickBot="1">
      <c r="A549" s="1530"/>
      <c r="B549" s="1532"/>
      <c r="C549" s="1530"/>
      <c r="D549" s="1529"/>
      <c r="E549" s="1529"/>
      <c r="F549" s="1529"/>
      <c r="G549" s="1529"/>
      <c r="H549" s="1529"/>
      <c r="I549" s="1529"/>
      <c r="J549" s="1529"/>
      <c r="K549" s="1529"/>
      <c r="L549" s="1529"/>
      <c r="M549" s="1529"/>
      <c r="N549" s="1529"/>
      <c r="O549" s="1529"/>
      <c r="P549" s="1529"/>
      <c r="Q549" s="1529"/>
      <c r="R549" s="1529"/>
      <c r="S549" s="1409" t="s">
        <v>2284</v>
      </c>
      <c r="T549" s="1529"/>
      <c r="U549" s="1529"/>
      <c r="V549" s="1529"/>
      <c r="W549" s="1529"/>
      <c r="X549" s="1529"/>
      <c r="Y549" s="1529"/>
      <c r="Z549" s="1529"/>
      <c r="AA549" s="1529"/>
      <c r="AB549" s="1529"/>
      <c r="AC549" s="1529"/>
      <c r="AD549" s="1529"/>
      <c r="AE549" s="1409" t="s">
        <v>2136</v>
      </c>
      <c r="AF549" s="1529"/>
      <c r="AG549" s="1529"/>
    </row>
    <row r="550" spans="1:33" ht="18.75" hidden="1" thickBot="1">
      <c r="A550" s="1530"/>
      <c r="B550" s="1532"/>
      <c r="C550" s="1530"/>
      <c r="D550" s="1410" t="s">
        <v>2610</v>
      </c>
      <c r="E550" s="1528" t="s">
        <v>2129</v>
      </c>
      <c r="F550" s="1528" t="s">
        <v>2129</v>
      </c>
      <c r="G550" s="1528" t="s">
        <v>2129</v>
      </c>
      <c r="H550" s="1528" t="s">
        <v>2129</v>
      </c>
      <c r="I550" s="1528" t="s">
        <v>2129</v>
      </c>
      <c r="J550" s="1528" t="s">
        <v>2129</v>
      </c>
      <c r="K550" s="1528" t="s">
        <v>2129</v>
      </c>
      <c r="L550" s="1528" t="s">
        <v>2286</v>
      </c>
      <c r="M550" s="1528">
        <v>166</v>
      </c>
      <c r="N550" s="1528">
        <v>30</v>
      </c>
      <c r="O550" s="1528">
        <v>30</v>
      </c>
      <c r="P550" s="1528"/>
      <c r="Q550" s="1528"/>
      <c r="R550" s="1528"/>
      <c r="S550" s="1528" t="s">
        <v>2129</v>
      </c>
      <c r="T550" s="1528" t="s">
        <v>2129</v>
      </c>
      <c r="U550" s="1528" t="s">
        <v>2129</v>
      </c>
      <c r="V550" s="1528" t="s">
        <v>2129</v>
      </c>
      <c r="W550" s="1528" t="s">
        <v>2129</v>
      </c>
      <c r="X550" s="1528" t="s">
        <v>2129</v>
      </c>
      <c r="Y550" s="1528" t="s">
        <v>2129</v>
      </c>
      <c r="Z550" s="1528" t="s">
        <v>2129</v>
      </c>
      <c r="AA550" s="1528" t="s">
        <v>2129</v>
      </c>
      <c r="AB550" s="1528" t="s">
        <v>2129</v>
      </c>
      <c r="AC550" s="1528" t="s">
        <v>2129</v>
      </c>
      <c r="AD550" s="1528" t="s">
        <v>2129</v>
      </c>
      <c r="AE550" s="1528" t="s">
        <v>2129</v>
      </c>
      <c r="AF550" s="1528" t="s">
        <v>2129</v>
      </c>
      <c r="AG550" s="1528" t="s">
        <v>2129</v>
      </c>
    </row>
    <row r="551" spans="1:33" ht="109.5" hidden="1" thickBot="1">
      <c r="A551" s="1530"/>
      <c r="B551" s="1532"/>
      <c r="C551" s="1530"/>
      <c r="D551" s="1409" t="s">
        <v>2611</v>
      </c>
      <c r="E551" s="1529"/>
      <c r="F551" s="1529"/>
      <c r="G551" s="1529"/>
      <c r="H551" s="1529"/>
      <c r="I551" s="1529"/>
      <c r="J551" s="1529"/>
      <c r="K551" s="1529"/>
      <c r="L551" s="1529"/>
      <c r="M551" s="1529"/>
      <c r="N551" s="1529"/>
      <c r="O551" s="1529"/>
      <c r="P551" s="1529"/>
      <c r="Q551" s="1529"/>
      <c r="R551" s="1529"/>
      <c r="S551" s="1529"/>
      <c r="T551" s="1529"/>
      <c r="U551" s="1529"/>
      <c r="V551" s="1529"/>
      <c r="W551" s="1529"/>
      <c r="X551" s="1529"/>
      <c r="Y551" s="1529"/>
      <c r="Z551" s="1529"/>
      <c r="AA551" s="1529"/>
      <c r="AB551" s="1529"/>
      <c r="AC551" s="1529"/>
      <c r="AD551" s="1529"/>
      <c r="AE551" s="1529"/>
      <c r="AF551" s="1529"/>
      <c r="AG551" s="1529"/>
    </row>
    <row r="552" spans="1:33" ht="18.75" hidden="1" thickBot="1">
      <c r="A552" s="1530"/>
      <c r="B552" s="1532"/>
      <c r="C552" s="1530"/>
      <c r="D552" s="1410" t="s">
        <v>2612</v>
      </c>
      <c r="E552" s="1528" t="s">
        <v>2129</v>
      </c>
      <c r="F552" s="1528" t="s">
        <v>2129</v>
      </c>
      <c r="G552" s="1528" t="s">
        <v>2129</v>
      </c>
      <c r="H552" s="1528" t="s">
        <v>2129</v>
      </c>
      <c r="I552" s="1528" t="s">
        <v>2129</v>
      </c>
      <c r="J552" s="1528" t="s">
        <v>2129</v>
      </c>
      <c r="K552" s="1528" t="s">
        <v>2129</v>
      </c>
      <c r="L552" s="1528" t="s">
        <v>2286</v>
      </c>
      <c r="M552" s="1528">
        <v>166</v>
      </c>
      <c r="N552" s="1528">
        <v>30</v>
      </c>
      <c r="O552" s="1528">
        <v>30</v>
      </c>
      <c r="P552" s="1528"/>
      <c r="Q552" s="1528"/>
      <c r="R552" s="1528"/>
      <c r="S552" s="1528" t="s">
        <v>2129</v>
      </c>
      <c r="T552" s="1528" t="s">
        <v>2129</v>
      </c>
      <c r="U552" s="1528" t="s">
        <v>2129</v>
      </c>
      <c r="V552" s="1528" t="s">
        <v>2129</v>
      </c>
      <c r="W552" s="1528" t="s">
        <v>2129</v>
      </c>
      <c r="X552" s="1528" t="s">
        <v>2129</v>
      </c>
      <c r="Y552" s="1528" t="s">
        <v>2129</v>
      </c>
      <c r="Z552" s="1528" t="s">
        <v>2129</v>
      </c>
      <c r="AA552" s="1528" t="s">
        <v>2129</v>
      </c>
      <c r="AB552" s="1528" t="s">
        <v>2129</v>
      </c>
      <c r="AC552" s="1528" t="s">
        <v>2129</v>
      </c>
      <c r="AD552" s="1528" t="s">
        <v>2129</v>
      </c>
      <c r="AE552" s="1528" t="s">
        <v>2129</v>
      </c>
      <c r="AF552" s="1528" t="s">
        <v>2129</v>
      </c>
      <c r="AG552" s="1528" t="s">
        <v>2129</v>
      </c>
    </row>
    <row r="553" spans="1:33" ht="101.25" hidden="1" thickBot="1">
      <c r="A553" s="1530"/>
      <c r="B553" s="1532"/>
      <c r="C553" s="1530"/>
      <c r="D553" s="1409" t="s">
        <v>2613</v>
      </c>
      <c r="E553" s="1529"/>
      <c r="F553" s="1529"/>
      <c r="G553" s="1529"/>
      <c r="H553" s="1529"/>
      <c r="I553" s="1529"/>
      <c r="J553" s="1529"/>
      <c r="K553" s="1529"/>
      <c r="L553" s="1529"/>
      <c r="M553" s="1529"/>
      <c r="N553" s="1529"/>
      <c r="O553" s="1529"/>
      <c r="P553" s="1529"/>
      <c r="Q553" s="1529"/>
      <c r="R553" s="1529"/>
      <c r="S553" s="1529"/>
      <c r="T553" s="1529"/>
      <c r="U553" s="1529"/>
      <c r="V553" s="1529"/>
      <c r="W553" s="1529"/>
      <c r="X553" s="1529"/>
      <c r="Y553" s="1529"/>
      <c r="Z553" s="1529"/>
      <c r="AA553" s="1529"/>
      <c r="AB553" s="1529"/>
      <c r="AC553" s="1529"/>
      <c r="AD553" s="1529"/>
      <c r="AE553" s="1529"/>
      <c r="AF553" s="1529"/>
      <c r="AG553" s="1529"/>
    </row>
    <row r="554" spans="1:33" ht="18.75" hidden="1" thickBot="1">
      <c r="A554" s="1530"/>
      <c r="B554" s="1532"/>
      <c r="C554" s="1530"/>
      <c r="D554" s="1410" t="s">
        <v>2614</v>
      </c>
      <c r="E554" s="1528" t="s">
        <v>2129</v>
      </c>
      <c r="F554" s="1528" t="s">
        <v>2129</v>
      </c>
      <c r="G554" s="1528" t="s">
        <v>2129</v>
      </c>
      <c r="H554" s="1528" t="s">
        <v>2129</v>
      </c>
      <c r="I554" s="1528" t="s">
        <v>2129</v>
      </c>
      <c r="J554" s="1528" t="s">
        <v>2129</v>
      </c>
      <c r="K554" s="1528" t="s">
        <v>2129</v>
      </c>
      <c r="L554" s="1528" t="s">
        <v>2286</v>
      </c>
      <c r="M554" s="1528">
        <v>166</v>
      </c>
      <c r="N554" s="1528">
        <v>30</v>
      </c>
      <c r="O554" s="1528">
        <v>30</v>
      </c>
      <c r="P554" s="1528"/>
      <c r="Q554" s="1528"/>
      <c r="R554" s="1528"/>
      <c r="S554" s="1528" t="s">
        <v>2129</v>
      </c>
      <c r="T554" s="1528" t="s">
        <v>2129</v>
      </c>
      <c r="U554" s="1528" t="s">
        <v>2129</v>
      </c>
      <c r="V554" s="1528" t="s">
        <v>2129</v>
      </c>
      <c r="W554" s="1528" t="s">
        <v>2129</v>
      </c>
      <c r="X554" s="1528" t="s">
        <v>2129</v>
      </c>
      <c r="Y554" s="1528" t="s">
        <v>2129</v>
      </c>
      <c r="Z554" s="1528" t="s">
        <v>2129</v>
      </c>
      <c r="AA554" s="1528" t="s">
        <v>2129</v>
      </c>
      <c r="AB554" s="1528" t="s">
        <v>2129</v>
      </c>
      <c r="AC554" s="1528" t="s">
        <v>2129</v>
      </c>
      <c r="AD554" s="1528" t="s">
        <v>2129</v>
      </c>
      <c r="AE554" s="1528" t="s">
        <v>2129</v>
      </c>
      <c r="AF554" s="1528" t="s">
        <v>2129</v>
      </c>
      <c r="AG554" s="1528" t="s">
        <v>2129</v>
      </c>
    </row>
    <row r="555" spans="1:33" ht="101.25" hidden="1" thickBot="1">
      <c r="A555" s="1529"/>
      <c r="B555" s="1533"/>
      <c r="C555" s="1529"/>
      <c r="D555" s="1409" t="s">
        <v>2615</v>
      </c>
      <c r="E555" s="1529"/>
      <c r="F555" s="1529"/>
      <c r="G555" s="1529"/>
      <c r="H555" s="1529"/>
      <c r="I555" s="1529"/>
      <c r="J555" s="1529"/>
      <c r="K555" s="1529"/>
      <c r="L555" s="1529"/>
      <c r="M555" s="1529"/>
      <c r="N555" s="1529"/>
      <c r="O555" s="1529"/>
      <c r="P555" s="1529"/>
      <c r="Q555" s="1529"/>
      <c r="R555" s="1529"/>
      <c r="S555" s="1529"/>
      <c r="T555" s="1529"/>
      <c r="U555" s="1529"/>
      <c r="V555" s="1529"/>
      <c r="W555" s="1529"/>
      <c r="X555" s="1529"/>
      <c r="Y555" s="1529"/>
      <c r="Z555" s="1529"/>
      <c r="AA555" s="1529"/>
      <c r="AB555" s="1529"/>
      <c r="AC555" s="1529"/>
      <c r="AD555" s="1529"/>
      <c r="AE555" s="1529"/>
      <c r="AF555" s="1529"/>
      <c r="AG555" s="1529"/>
    </row>
    <row r="556" spans="1:33" ht="23.25" hidden="1" customHeight="1" thickBot="1">
      <c r="A556" s="1528">
        <v>66</v>
      </c>
      <c r="B556" s="1531">
        <v>1.7224300000000002E+35</v>
      </c>
      <c r="C556" s="1528" t="s">
        <v>2616</v>
      </c>
      <c r="D556" s="1528" t="s">
        <v>2617</v>
      </c>
      <c r="E556" s="1528">
        <v>13389.36</v>
      </c>
      <c r="F556" s="1528"/>
      <c r="G556" s="1528">
        <v>13389.36</v>
      </c>
      <c r="H556" s="1528">
        <v>13389.36</v>
      </c>
      <c r="I556" s="1528">
        <v>0</v>
      </c>
      <c r="J556" s="1528">
        <v>0</v>
      </c>
      <c r="K556" s="1528">
        <v>0</v>
      </c>
      <c r="L556" s="1528" t="s">
        <v>2129</v>
      </c>
      <c r="M556" s="1528" t="s">
        <v>2129</v>
      </c>
      <c r="N556" s="1528" t="s">
        <v>2129</v>
      </c>
      <c r="O556" s="1528" t="s">
        <v>2129</v>
      </c>
      <c r="P556" s="1528" t="s">
        <v>2129</v>
      </c>
      <c r="Q556" s="1528" t="s">
        <v>2129</v>
      </c>
      <c r="R556" s="1528" t="s">
        <v>2129</v>
      </c>
      <c r="S556" s="1410" t="s">
        <v>2149</v>
      </c>
      <c r="T556" s="1528">
        <v>133.88999999999999</v>
      </c>
      <c r="U556" s="1528">
        <v>669.47</v>
      </c>
      <c r="V556" s="1528">
        <v>5.2016999999999998</v>
      </c>
      <c r="W556" s="1528">
        <v>12.201700000000001</v>
      </c>
      <c r="X556" s="1528" t="s">
        <v>2281</v>
      </c>
      <c r="Y556" s="1528" t="s">
        <v>2132</v>
      </c>
      <c r="Z556" s="1528" t="s">
        <v>2282</v>
      </c>
      <c r="AA556" s="1528" t="s">
        <v>2301</v>
      </c>
      <c r="AB556" s="1528"/>
      <c r="AC556" s="1528"/>
      <c r="AD556" s="1528" t="s">
        <v>2609</v>
      </c>
      <c r="AE556" s="1410" t="s">
        <v>2134</v>
      </c>
      <c r="AF556" s="1528"/>
      <c r="AG556" s="1528" t="s">
        <v>2283</v>
      </c>
    </row>
    <row r="557" spans="1:33" ht="101.25" hidden="1" thickBot="1">
      <c r="A557" s="1530"/>
      <c r="B557" s="1532"/>
      <c r="C557" s="1530"/>
      <c r="D557" s="1530"/>
      <c r="E557" s="1530"/>
      <c r="F557" s="1530"/>
      <c r="G557" s="1530"/>
      <c r="H557" s="1530"/>
      <c r="I557" s="1530"/>
      <c r="J557" s="1530"/>
      <c r="K557" s="1530"/>
      <c r="L557" s="1530"/>
      <c r="M557" s="1530"/>
      <c r="N557" s="1530"/>
      <c r="O557" s="1530"/>
      <c r="P557" s="1530"/>
      <c r="Q557" s="1530"/>
      <c r="R557" s="1530"/>
      <c r="S557" s="1410" t="s">
        <v>2284</v>
      </c>
      <c r="T557" s="1530"/>
      <c r="U557" s="1530"/>
      <c r="V557" s="1530"/>
      <c r="W557" s="1530"/>
      <c r="X557" s="1530"/>
      <c r="Y557" s="1530"/>
      <c r="Z557" s="1530"/>
      <c r="AA557" s="1530"/>
      <c r="AB557" s="1530"/>
      <c r="AC557" s="1530"/>
      <c r="AD557" s="1530"/>
      <c r="AE557" s="1410" t="s">
        <v>2136</v>
      </c>
      <c r="AF557" s="1530"/>
      <c r="AG557" s="1530"/>
    </row>
    <row r="558" spans="1:33" ht="15.75" hidden="1" thickBot="1">
      <c r="A558" s="1530"/>
      <c r="B558" s="1532"/>
      <c r="C558" s="1530"/>
      <c r="D558" s="1529"/>
      <c r="E558" s="1529"/>
      <c r="F558" s="1529"/>
      <c r="G558" s="1529"/>
      <c r="H558" s="1529"/>
      <c r="I558" s="1529"/>
      <c r="J558" s="1529"/>
      <c r="K558" s="1529"/>
      <c r="L558" s="1529"/>
      <c r="M558" s="1529"/>
      <c r="N558" s="1529"/>
      <c r="O558" s="1529"/>
      <c r="P558" s="1529"/>
      <c r="Q558" s="1529"/>
      <c r="R558" s="1529"/>
      <c r="S558" s="1409"/>
      <c r="T558" s="1529"/>
      <c r="U558" s="1529"/>
      <c r="V558" s="1529"/>
      <c r="W558" s="1529"/>
      <c r="X558" s="1529"/>
      <c r="Y558" s="1529"/>
      <c r="Z558" s="1529"/>
      <c r="AA558" s="1529"/>
      <c r="AB558" s="1529"/>
      <c r="AC558" s="1529"/>
      <c r="AD558" s="1529"/>
      <c r="AE558" s="1409"/>
      <c r="AF558" s="1529"/>
      <c r="AG558" s="1529"/>
    </row>
    <row r="559" spans="1:33" ht="27" hidden="1" thickBot="1">
      <c r="A559" s="1530"/>
      <c r="B559" s="1532"/>
      <c r="C559" s="1530"/>
      <c r="D559" s="1410" t="s">
        <v>2618</v>
      </c>
      <c r="E559" s="1528" t="s">
        <v>2129</v>
      </c>
      <c r="F559" s="1528" t="s">
        <v>2129</v>
      </c>
      <c r="G559" s="1528" t="s">
        <v>2129</v>
      </c>
      <c r="H559" s="1528" t="s">
        <v>2129</v>
      </c>
      <c r="I559" s="1528" t="s">
        <v>2129</v>
      </c>
      <c r="J559" s="1528" t="s">
        <v>2129</v>
      </c>
      <c r="K559" s="1528" t="s">
        <v>2129</v>
      </c>
      <c r="L559" s="1528" t="s">
        <v>2286</v>
      </c>
      <c r="M559" s="1528">
        <v>166</v>
      </c>
      <c r="N559" s="1528">
        <v>12</v>
      </c>
      <c r="O559" s="1528">
        <v>12</v>
      </c>
      <c r="P559" s="1528"/>
      <c r="Q559" s="1528"/>
      <c r="R559" s="1528"/>
      <c r="S559" s="1528" t="s">
        <v>2129</v>
      </c>
      <c r="T559" s="1528" t="s">
        <v>2129</v>
      </c>
      <c r="U559" s="1528" t="s">
        <v>2129</v>
      </c>
      <c r="V559" s="1528" t="s">
        <v>2129</v>
      </c>
      <c r="W559" s="1528" t="s">
        <v>2129</v>
      </c>
      <c r="X559" s="1528" t="s">
        <v>2129</v>
      </c>
      <c r="Y559" s="1528" t="s">
        <v>2129</v>
      </c>
      <c r="Z559" s="1528" t="s">
        <v>2129</v>
      </c>
      <c r="AA559" s="1528" t="s">
        <v>2129</v>
      </c>
      <c r="AB559" s="1528" t="s">
        <v>2129</v>
      </c>
      <c r="AC559" s="1528" t="s">
        <v>2129</v>
      </c>
      <c r="AD559" s="1528" t="s">
        <v>2129</v>
      </c>
      <c r="AE559" s="1528" t="s">
        <v>2129</v>
      </c>
      <c r="AF559" s="1528" t="s">
        <v>2129</v>
      </c>
      <c r="AG559" s="1528" t="s">
        <v>2129</v>
      </c>
    </row>
    <row r="560" spans="1:33" ht="109.5" hidden="1" thickBot="1">
      <c r="A560" s="1530"/>
      <c r="B560" s="1532"/>
      <c r="C560" s="1530"/>
      <c r="D560" s="1409" t="s">
        <v>2619</v>
      </c>
      <c r="E560" s="1529"/>
      <c r="F560" s="1529"/>
      <c r="G560" s="1529"/>
      <c r="H560" s="1529"/>
      <c r="I560" s="1529"/>
      <c r="J560" s="1529"/>
      <c r="K560" s="1529"/>
      <c r="L560" s="1529"/>
      <c r="M560" s="1529"/>
      <c r="N560" s="1529"/>
      <c r="O560" s="1529"/>
      <c r="P560" s="1529"/>
      <c r="Q560" s="1529"/>
      <c r="R560" s="1529"/>
      <c r="S560" s="1529"/>
      <c r="T560" s="1529"/>
      <c r="U560" s="1529"/>
      <c r="V560" s="1529"/>
      <c r="W560" s="1529"/>
      <c r="X560" s="1529"/>
      <c r="Y560" s="1529"/>
      <c r="Z560" s="1529"/>
      <c r="AA560" s="1529"/>
      <c r="AB560" s="1529"/>
      <c r="AC560" s="1529"/>
      <c r="AD560" s="1529"/>
      <c r="AE560" s="1529"/>
      <c r="AF560" s="1529"/>
      <c r="AG560" s="1529"/>
    </row>
    <row r="561" spans="1:33" ht="43.5" hidden="1" thickBot="1">
      <c r="A561" s="1530"/>
      <c r="B561" s="1532"/>
      <c r="C561" s="1530"/>
      <c r="D561" s="1410" t="s">
        <v>2620</v>
      </c>
      <c r="E561" s="1528" t="s">
        <v>2129</v>
      </c>
      <c r="F561" s="1528" t="s">
        <v>2129</v>
      </c>
      <c r="G561" s="1528" t="s">
        <v>2129</v>
      </c>
      <c r="H561" s="1528" t="s">
        <v>2129</v>
      </c>
      <c r="I561" s="1528" t="s">
        <v>2129</v>
      </c>
      <c r="J561" s="1528" t="s">
        <v>2129</v>
      </c>
      <c r="K561" s="1528" t="s">
        <v>2129</v>
      </c>
      <c r="L561" s="1528" t="s">
        <v>2286</v>
      </c>
      <c r="M561" s="1528">
        <v>166</v>
      </c>
      <c r="N561" s="1528">
        <v>30</v>
      </c>
      <c r="O561" s="1528">
        <v>30</v>
      </c>
      <c r="P561" s="1528"/>
      <c r="Q561" s="1528"/>
      <c r="R561" s="1528"/>
      <c r="S561" s="1528" t="s">
        <v>2129</v>
      </c>
      <c r="T561" s="1528" t="s">
        <v>2129</v>
      </c>
      <c r="U561" s="1528" t="s">
        <v>2129</v>
      </c>
      <c r="V561" s="1528" t="s">
        <v>2129</v>
      </c>
      <c r="W561" s="1528" t="s">
        <v>2129</v>
      </c>
      <c r="X561" s="1528" t="s">
        <v>2129</v>
      </c>
      <c r="Y561" s="1528" t="s">
        <v>2129</v>
      </c>
      <c r="Z561" s="1528" t="s">
        <v>2129</v>
      </c>
      <c r="AA561" s="1528" t="s">
        <v>2129</v>
      </c>
      <c r="AB561" s="1528" t="s">
        <v>2129</v>
      </c>
      <c r="AC561" s="1528" t="s">
        <v>2129</v>
      </c>
      <c r="AD561" s="1528" t="s">
        <v>2129</v>
      </c>
      <c r="AE561" s="1528" t="s">
        <v>2129</v>
      </c>
      <c r="AF561" s="1528" t="s">
        <v>2129</v>
      </c>
      <c r="AG561" s="1528" t="s">
        <v>2129</v>
      </c>
    </row>
    <row r="562" spans="1:33" ht="183.75" hidden="1" thickBot="1">
      <c r="A562" s="1530"/>
      <c r="B562" s="1532"/>
      <c r="C562" s="1530"/>
      <c r="D562" s="1409" t="s">
        <v>2621</v>
      </c>
      <c r="E562" s="1529"/>
      <c r="F562" s="1529"/>
      <c r="G562" s="1529"/>
      <c r="H562" s="1529"/>
      <c r="I562" s="1529"/>
      <c r="J562" s="1529"/>
      <c r="K562" s="1529"/>
      <c r="L562" s="1529"/>
      <c r="M562" s="1529"/>
      <c r="N562" s="1529"/>
      <c r="O562" s="1529"/>
      <c r="P562" s="1529"/>
      <c r="Q562" s="1529"/>
      <c r="R562" s="1529"/>
      <c r="S562" s="1529"/>
      <c r="T562" s="1529"/>
      <c r="U562" s="1529"/>
      <c r="V562" s="1529"/>
      <c r="W562" s="1529"/>
      <c r="X562" s="1529"/>
      <c r="Y562" s="1529"/>
      <c r="Z562" s="1529"/>
      <c r="AA562" s="1529"/>
      <c r="AB562" s="1529"/>
      <c r="AC562" s="1529"/>
      <c r="AD562" s="1529"/>
      <c r="AE562" s="1529"/>
      <c r="AF562" s="1529"/>
      <c r="AG562" s="1529"/>
    </row>
    <row r="563" spans="1:33" ht="43.5" hidden="1" thickBot="1">
      <c r="A563" s="1530"/>
      <c r="B563" s="1532"/>
      <c r="C563" s="1530"/>
      <c r="D563" s="1410" t="s">
        <v>2622</v>
      </c>
      <c r="E563" s="1528" t="s">
        <v>2129</v>
      </c>
      <c r="F563" s="1528" t="s">
        <v>2129</v>
      </c>
      <c r="G563" s="1528" t="s">
        <v>2129</v>
      </c>
      <c r="H563" s="1528" t="s">
        <v>2129</v>
      </c>
      <c r="I563" s="1528" t="s">
        <v>2129</v>
      </c>
      <c r="J563" s="1528" t="s">
        <v>2129</v>
      </c>
      <c r="K563" s="1528" t="s">
        <v>2129</v>
      </c>
      <c r="L563" s="1528" t="s">
        <v>2286</v>
      </c>
      <c r="M563" s="1528">
        <v>166</v>
      </c>
      <c r="N563" s="1528">
        <v>30</v>
      </c>
      <c r="O563" s="1528">
        <v>30</v>
      </c>
      <c r="P563" s="1528"/>
      <c r="Q563" s="1528"/>
      <c r="R563" s="1528"/>
      <c r="S563" s="1528" t="s">
        <v>2129</v>
      </c>
      <c r="T563" s="1528" t="s">
        <v>2129</v>
      </c>
      <c r="U563" s="1528" t="s">
        <v>2129</v>
      </c>
      <c r="V563" s="1528" t="s">
        <v>2129</v>
      </c>
      <c r="W563" s="1528" t="s">
        <v>2129</v>
      </c>
      <c r="X563" s="1528" t="s">
        <v>2129</v>
      </c>
      <c r="Y563" s="1528" t="s">
        <v>2129</v>
      </c>
      <c r="Z563" s="1528" t="s">
        <v>2129</v>
      </c>
      <c r="AA563" s="1528" t="s">
        <v>2129</v>
      </c>
      <c r="AB563" s="1528" t="s">
        <v>2129</v>
      </c>
      <c r="AC563" s="1528" t="s">
        <v>2129</v>
      </c>
      <c r="AD563" s="1528" t="s">
        <v>2129</v>
      </c>
      <c r="AE563" s="1528" t="s">
        <v>2129</v>
      </c>
      <c r="AF563" s="1528" t="s">
        <v>2129</v>
      </c>
      <c r="AG563" s="1528" t="s">
        <v>2129</v>
      </c>
    </row>
    <row r="564" spans="1:33" ht="183.75" hidden="1" thickBot="1">
      <c r="A564" s="1529"/>
      <c r="B564" s="1533"/>
      <c r="C564" s="1529"/>
      <c r="D564" s="1409" t="s">
        <v>2621</v>
      </c>
      <c r="E564" s="1529"/>
      <c r="F564" s="1529"/>
      <c r="G564" s="1529"/>
      <c r="H564" s="1529"/>
      <c r="I564" s="1529"/>
      <c r="J564" s="1529"/>
      <c r="K564" s="1529"/>
      <c r="L564" s="1529"/>
      <c r="M564" s="1529"/>
      <c r="N564" s="1529"/>
      <c r="O564" s="1529"/>
      <c r="P564" s="1529"/>
      <c r="Q564" s="1529"/>
      <c r="R564" s="1529"/>
      <c r="S564" s="1529"/>
      <c r="T564" s="1529"/>
      <c r="U564" s="1529"/>
      <c r="V564" s="1529"/>
      <c r="W564" s="1529"/>
      <c r="X564" s="1529"/>
      <c r="Y564" s="1529"/>
      <c r="Z564" s="1529"/>
      <c r="AA564" s="1529"/>
      <c r="AB564" s="1529"/>
      <c r="AC564" s="1529"/>
      <c r="AD564" s="1529"/>
      <c r="AE564" s="1529"/>
      <c r="AF564" s="1529"/>
      <c r="AG564" s="1529"/>
    </row>
    <row r="565" spans="1:33" ht="23.25" hidden="1" customHeight="1" thickBot="1">
      <c r="A565" s="1528">
        <v>67</v>
      </c>
      <c r="B565" s="1531">
        <v>1.7224300000000002E+35</v>
      </c>
      <c r="C565" s="1528" t="s">
        <v>2623</v>
      </c>
      <c r="D565" s="1528" t="s">
        <v>2624</v>
      </c>
      <c r="E565" s="1528">
        <v>7332.5</v>
      </c>
      <c r="F565" s="1528"/>
      <c r="G565" s="1528">
        <v>7332.5</v>
      </c>
      <c r="H565" s="1528">
        <v>7332.5</v>
      </c>
      <c r="I565" s="1528">
        <v>0</v>
      </c>
      <c r="J565" s="1528">
        <v>0</v>
      </c>
      <c r="K565" s="1528">
        <v>0</v>
      </c>
      <c r="L565" s="1528" t="s">
        <v>2129</v>
      </c>
      <c r="M565" s="1528" t="s">
        <v>2129</v>
      </c>
      <c r="N565" s="1528" t="s">
        <v>2129</v>
      </c>
      <c r="O565" s="1528" t="s">
        <v>2129</v>
      </c>
      <c r="P565" s="1528" t="s">
        <v>2129</v>
      </c>
      <c r="Q565" s="1528" t="s">
        <v>2129</v>
      </c>
      <c r="R565" s="1528" t="s">
        <v>2129</v>
      </c>
      <c r="S565" s="1410" t="s">
        <v>2169</v>
      </c>
      <c r="T565" s="1528">
        <v>73.33</v>
      </c>
      <c r="U565" s="1528">
        <v>366.63</v>
      </c>
      <c r="V565" s="1528">
        <v>5.2016999999999998</v>
      </c>
      <c r="W565" s="1528">
        <v>12.201700000000001</v>
      </c>
      <c r="X565" s="1528" t="s">
        <v>2281</v>
      </c>
      <c r="Y565" s="1528" t="s">
        <v>2132</v>
      </c>
      <c r="Z565" s="1528" t="s">
        <v>2282</v>
      </c>
      <c r="AA565" s="1528"/>
      <c r="AB565" s="1528"/>
      <c r="AC565" s="1528"/>
      <c r="AD565" s="1528" t="s">
        <v>2609</v>
      </c>
      <c r="AE565" s="1410" t="s">
        <v>2134</v>
      </c>
      <c r="AF565" s="1528"/>
      <c r="AG565" s="1528" t="s">
        <v>2283</v>
      </c>
    </row>
    <row r="566" spans="1:33" ht="93" hidden="1" thickBot="1">
      <c r="A566" s="1530"/>
      <c r="B566" s="1532"/>
      <c r="C566" s="1530"/>
      <c r="D566" s="1529"/>
      <c r="E566" s="1529"/>
      <c r="F566" s="1529"/>
      <c r="G566" s="1529"/>
      <c r="H566" s="1529"/>
      <c r="I566" s="1529"/>
      <c r="J566" s="1529"/>
      <c r="K566" s="1529"/>
      <c r="L566" s="1529"/>
      <c r="M566" s="1529"/>
      <c r="N566" s="1529"/>
      <c r="O566" s="1529"/>
      <c r="P566" s="1529"/>
      <c r="Q566" s="1529"/>
      <c r="R566" s="1529"/>
      <c r="S566" s="1409" t="s">
        <v>2189</v>
      </c>
      <c r="T566" s="1529"/>
      <c r="U566" s="1529"/>
      <c r="V566" s="1529"/>
      <c r="W566" s="1529"/>
      <c r="X566" s="1529"/>
      <c r="Y566" s="1529"/>
      <c r="Z566" s="1529"/>
      <c r="AA566" s="1529"/>
      <c r="AB566" s="1529"/>
      <c r="AC566" s="1529"/>
      <c r="AD566" s="1529"/>
      <c r="AE566" s="1409" t="s">
        <v>2136</v>
      </c>
      <c r="AF566" s="1529"/>
      <c r="AG566" s="1529"/>
    </row>
    <row r="567" spans="1:33" ht="27" hidden="1" thickBot="1">
      <c r="A567" s="1530"/>
      <c r="B567" s="1532"/>
      <c r="C567" s="1530"/>
      <c r="D567" s="1410" t="s">
        <v>2625</v>
      </c>
      <c r="E567" s="1528" t="s">
        <v>2129</v>
      </c>
      <c r="F567" s="1528" t="s">
        <v>2129</v>
      </c>
      <c r="G567" s="1528" t="s">
        <v>2129</v>
      </c>
      <c r="H567" s="1528" t="s">
        <v>2129</v>
      </c>
      <c r="I567" s="1528" t="s">
        <v>2129</v>
      </c>
      <c r="J567" s="1528" t="s">
        <v>2129</v>
      </c>
      <c r="K567" s="1528" t="s">
        <v>2129</v>
      </c>
      <c r="L567" s="1528" t="s">
        <v>2286</v>
      </c>
      <c r="M567" s="1528">
        <v>166</v>
      </c>
      <c r="N567" s="1528">
        <v>50</v>
      </c>
      <c r="O567" s="1528">
        <v>50</v>
      </c>
      <c r="P567" s="1528"/>
      <c r="Q567" s="1528"/>
      <c r="R567" s="1528"/>
      <c r="S567" s="1528" t="s">
        <v>2129</v>
      </c>
      <c r="T567" s="1528" t="s">
        <v>2129</v>
      </c>
      <c r="U567" s="1528" t="s">
        <v>2129</v>
      </c>
      <c r="V567" s="1528" t="s">
        <v>2129</v>
      </c>
      <c r="W567" s="1528" t="s">
        <v>2129</v>
      </c>
      <c r="X567" s="1528" t="s">
        <v>2129</v>
      </c>
      <c r="Y567" s="1528" t="s">
        <v>2129</v>
      </c>
      <c r="Z567" s="1528" t="s">
        <v>2129</v>
      </c>
      <c r="AA567" s="1528" t="s">
        <v>2129</v>
      </c>
      <c r="AB567" s="1528" t="s">
        <v>2129</v>
      </c>
      <c r="AC567" s="1528" t="s">
        <v>2129</v>
      </c>
      <c r="AD567" s="1528" t="s">
        <v>2129</v>
      </c>
      <c r="AE567" s="1528" t="s">
        <v>2129</v>
      </c>
      <c r="AF567" s="1528" t="s">
        <v>2129</v>
      </c>
      <c r="AG567" s="1528" t="s">
        <v>2129</v>
      </c>
    </row>
    <row r="568" spans="1:33" ht="101.25" hidden="1" thickBot="1">
      <c r="A568" s="1530"/>
      <c r="B568" s="1532"/>
      <c r="C568" s="1530"/>
      <c r="D568" s="1409" t="s">
        <v>2626</v>
      </c>
      <c r="E568" s="1529"/>
      <c r="F568" s="1529"/>
      <c r="G568" s="1529"/>
      <c r="H568" s="1529"/>
      <c r="I568" s="1529"/>
      <c r="J568" s="1529"/>
      <c r="K568" s="1529"/>
      <c r="L568" s="1529"/>
      <c r="M568" s="1529"/>
      <c r="N568" s="1529"/>
      <c r="O568" s="1529"/>
      <c r="P568" s="1529"/>
      <c r="Q568" s="1529"/>
      <c r="R568" s="1529"/>
      <c r="S568" s="1529"/>
      <c r="T568" s="1529"/>
      <c r="U568" s="1529"/>
      <c r="V568" s="1529"/>
      <c r="W568" s="1529"/>
      <c r="X568" s="1529"/>
      <c r="Y568" s="1529"/>
      <c r="Z568" s="1529"/>
      <c r="AA568" s="1529"/>
      <c r="AB568" s="1529"/>
      <c r="AC568" s="1529"/>
      <c r="AD568" s="1529"/>
      <c r="AE568" s="1529"/>
      <c r="AF568" s="1529"/>
      <c r="AG568" s="1529"/>
    </row>
    <row r="569" spans="1:33" ht="18.75" hidden="1" thickBot="1">
      <c r="A569" s="1530"/>
      <c r="B569" s="1532"/>
      <c r="C569" s="1530"/>
      <c r="D569" s="1410" t="s">
        <v>2627</v>
      </c>
      <c r="E569" s="1528" t="s">
        <v>2129</v>
      </c>
      <c r="F569" s="1528" t="s">
        <v>2129</v>
      </c>
      <c r="G569" s="1528" t="s">
        <v>2129</v>
      </c>
      <c r="H569" s="1528" t="s">
        <v>2129</v>
      </c>
      <c r="I569" s="1528" t="s">
        <v>2129</v>
      </c>
      <c r="J569" s="1528" t="s">
        <v>2129</v>
      </c>
      <c r="K569" s="1528" t="s">
        <v>2129</v>
      </c>
      <c r="L569" s="1528" t="s">
        <v>2286</v>
      </c>
      <c r="M569" s="1528">
        <v>166</v>
      </c>
      <c r="N569" s="1528">
        <v>50</v>
      </c>
      <c r="O569" s="1528">
        <v>50</v>
      </c>
      <c r="P569" s="1528"/>
      <c r="Q569" s="1528"/>
      <c r="R569" s="1528"/>
      <c r="S569" s="1528" t="s">
        <v>2129</v>
      </c>
      <c r="T569" s="1528" t="s">
        <v>2129</v>
      </c>
      <c r="U569" s="1528" t="s">
        <v>2129</v>
      </c>
      <c r="V569" s="1528" t="s">
        <v>2129</v>
      </c>
      <c r="W569" s="1528" t="s">
        <v>2129</v>
      </c>
      <c r="X569" s="1528" t="s">
        <v>2129</v>
      </c>
      <c r="Y569" s="1528" t="s">
        <v>2129</v>
      </c>
      <c r="Z569" s="1528" t="s">
        <v>2129</v>
      </c>
      <c r="AA569" s="1528" t="s">
        <v>2129</v>
      </c>
      <c r="AB569" s="1528" t="s">
        <v>2129</v>
      </c>
      <c r="AC569" s="1528" t="s">
        <v>2129</v>
      </c>
      <c r="AD569" s="1528" t="s">
        <v>2129</v>
      </c>
      <c r="AE569" s="1528" t="s">
        <v>2129</v>
      </c>
      <c r="AF569" s="1528" t="s">
        <v>2129</v>
      </c>
      <c r="AG569" s="1528" t="s">
        <v>2129</v>
      </c>
    </row>
    <row r="570" spans="1:33" ht="101.25" hidden="1" thickBot="1">
      <c r="A570" s="1530"/>
      <c r="B570" s="1532"/>
      <c r="C570" s="1530"/>
      <c r="D570" s="1409" t="s">
        <v>2628</v>
      </c>
      <c r="E570" s="1529"/>
      <c r="F570" s="1529"/>
      <c r="G570" s="1529"/>
      <c r="H570" s="1529"/>
      <c r="I570" s="1529"/>
      <c r="J570" s="1529"/>
      <c r="K570" s="1529"/>
      <c r="L570" s="1529"/>
      <c r="M570" s="1529"/>
      <c r="N570" s="1529"/>
      <c r="O570" s="1529"/>
      <c r="P570" s="1529"/>
      <c r="Q570" s="1529"/>
      <c r="R570" s="1529"/>
      <c r="S570" s="1529"/>
      <c r="T570" s="1529"/>
      <c r="U570" s="1529"/>
      <c r="V570" s="1529"/>
      <c r="W570" s="1529"/>
      <c r="X570" s="1529"/>
      <c r="Y570" s="1529"/>
      <c r="Z570" s="1529"/>
      <c r="AA570" s="1529"/>
      <c r="AB570" s="1529"/>
      <c r="AC570" s="1529"/>
      <c r="AD570" s="1529"/>
      <c r="AE570" s="1529"/>
      <c r="AF570" s="1529"/>
      <c r="AG570" s="1529"/>
    </row>
    <row r="571" spans="1:33" ht="18.75" hidden="1" thickBot="1">
      <c r="A571" s="1530"/>
      <c r="B571" s="1532"/>
      <c r="C571" s="1530"/>
      <c r="D571" s="1410" t="s">
        <v>2629</v>
      </c>
      <c r="E571" s="1528" t="s">
        <v>2129</v>
      </c>
      <c r="F571" s="1528" t="s">
        <v>2129</v>
      </c>
      <c r="G571" s="1528" t="s">
        <v>2129</v>
      </c>
      <c r="H571" s="1528" t="s">
        <v>2129</v>
      </c>
      <c r="I571" s="1528" t="s">
        <v>2129</v>
      </c>
      <c r="J571" s="1528" t="s">
        <v>2129</v>
      </c>
      <c r="K571" s="1528" t="s">
        <v>2129</v>
      </c>
      <c r="L571" s="1528" t="s">
        <v>2630</v>
      </c>
      <c r="M571" s="1528">
        <v>230</v>
      </c>
      <c r="N571" s="1528">
        <v>50</v>
      </c>
      <c r="O571" s="1528">
        <v>50</v>
      </c>
      <c r="P571" s="1528"/>
      <c r="Q571" s="1528"/>
      <c r="R571" s="1528"/>
      <c r="S571" s="1528" t="s">
        <v>2129</v>
      </c>
      <c r="T571" s="1528" t="s">
        <v>2129</v>
      </c>
      <c r="U571" s="1528" t="s">
        <v>2129</v>
      </c>
      <c r="V571" s="1528" t="s">
        <v>2129</v>
      </c>
      <c r="W571" s="1528" t="s">
        <v>2129</v>
      </c>
      <c r="X571" s="1528" t="s">
        <v>2129</v>
      </c>
      <c r="Y571" s="1528" t="s">
        <v>2129</v>
      </c>
      <c r="Z571" s="1528" t="s">
        <v>2129</v>
      </c>
      <c r="AA571" s="1528" t="s">
        <v>2129</v>
      </c>
      <c r="AB571" s="1528" t="s">
        <v>2129</v>
      </c>
      <c r="AC571" s="1528" t="s">
        <v>2129</v>
      </c>
      <c r="AD571" s="1528" t="s">
        <v>2129</v>
      </c>
      <c r="AE571" s="1528" t="s">
        <v>2129</v>
      </c>
      <c r="AF571" s="1528" t="s">
        <v>2129</v>
      </c>
      <c r="AG571" s="1528" t="s">
        <v>2129</v>
      </c>
    </row>
    <row r="572" spans="1:33" ht="101.25" hidden="1" thickBot="1">
      <c r="A572" s="1530"/>
      <c r="B572" s="1532"/>
      <c r="C572" s="1530"/>
      <c r="D572" s="1409" t="s">
        <v>2628</v>
      </c>
      <c r="E572" s="1529"/>
      <c r="F572" s="1529"/>
      <c r="G572" s="1529"/>
      <c r="H572" s="1529"/>
      <c r="I572" s="1529"/>
      <c r="J572" s="1529"/>
      <c r="K572" s="1529"/>
      <c r="L572" s="1529"/>
      <c r="M572" s="1529"/>
      <c r="N572" s="1529"/>
      <c r="O572" s="1529"/>
      <c r="P572" s="1529"/>
      <c r="Q572" s="1529"/>
      <c r="R572" s="1529"/>
      <c r="S572" s="1529"/>
      <c r="T572" s="1529"/>
      <c r="U572" s="1529"/>
      <c r="V572" s="1529"/>
      <c r="W572" s="1529"/>
      <c r="X572" s="1529"/>
      <c r="Y572" s="1529"/>
      <c r="Z572" s="1529"/>
      <c r="AA572" s="1529"/>
      <c r="AB572" s="1529"/>
      <c r="AC572" s="1529"/>
      <c r="AD572" s="1529"/>
      <c r="AE572" s="1529"/>
      <c r="AF572" s="1529"/>
      <c r="AG572" s="1529"/>
    </row>
    <row r="573" spans="1:33" ht="18.75" hidden="1" thickBot="1">
      <c r="A573" s="1530"/>
      <c r="B573" s="1532"/>
      <c r="C573" s="1530"/>
      <c r="D573" s="1410" t="s">
        <v>2631</v>
      </c>
      <c r="E573" s="1528" t="s">
        <v>2129</v>
      </c>
      <c r="F573" s="1528" t="s">
        <v>2129</v>
      </c>
      <c r="G573" s="1528" t="s">
        <v>2129</v>
      </c>
      <c r="H573" s="1528" t="s">
        <v>2129</v>
      </c>
      <c r="I573" s="1528" t="s">
        <v>2129</v>
      </c>
      <c r="J573" s="1528" t="s">
        <v>2129</v>
      </c>
      <c r="K573" s="1528" t="s">
        <v>2129</v>
      </c>
      <c r="L573" s="1528" t="s">
        <v>2286</v>
      </c>
      <c r="M573" s="1528">
        <v>166</v>
      </c>
      <c r="N573" s="1528">
        <v>50</v>
      </c>
      <c r="O573" s="1528">
        <v>50</v>
      </c>
      <c r="P573" s="1528"/>
      <c r="Q573" s="1528"/>
      <c r="R573" s="1528"/>
      <c r="S573" s="1528" t="s">
        <v>2129</v>
      </c>
      <c r="T573" s="1528" t="s">
        <v>2129</v>
      </c>
      <c r="U573" s="1528" t="s">
        <v>2129</v>
      </c>
      <c r="V573" s="1528" t="s">
        <v>2129</v>
      </c>
      <c r="W573" s="1528" t="s">
        <v>2129</v>
      </c>
      <c r="X573" s="1528" t="s">
        <v>2129</v>
      </c>
      <c r="Y573" s="1528" t="s">
        <v>2129</v>
      </c>
      <c r="Z573" s="1528" t="s">
        <v>2129</v>
      </c>
      <c r="AA573" s="1528" t="s">
        <v>2129</v>
      </c>
      <c r="AB573" s="1528" t="s">
        <v>2129</v>
      </c>
      <c r="AC573" s="1528" t="s">
        <v>2129</v>
      </c>
      <c r="AD573" s="1528" t="s">
        <v>2129</v>
      </c>
      <c r="AE573" s="1528" t="s">
        <v>2129</v>
      </c>
      <c r="AF573" s="1528" t="s">
        <v>2129</v>
      </c>
      <c r="AG573" s="1528" t="s">
        <v>2129</v>
      </c>
    </row>
    <row r="574" spans="1:33" ht="101.25" hidden="1" thickBot="1">
      <c r="A574" s="1530"/>
      <c r="B574" s="1532"/>
      <c r="C574" s="1530"/>
      <c r="D574" s="1409" t="s">
        <v>2628</v>
      </c>
      <c r="E574" s="1529"/>
      <c r="F574" s="1529"/>
      <c r="G574" s="1529"/>
      <c r="H574" s="1529"/>
      <c r="I574" s="1529"/>
      <c r="J574" s="1529"/>
      <c r="K574" s="1529"/>
      <c r="L574" s="1529"/>
      <c r="M574" s="1529"/>
      <c r="N574" s="1529"/>
      <c r="O574" s="1529"/>
      <c r="P574" s="1529"/>
      <c r="Q574" s="1529"/>
      <c r="R574" s="1529"/>
      <c r="S574" s="1529"/>
      <c r="T574" s="1529"/>
      <c r="U574" s="1529"/>
      <c r="V574" s="1529"/>
      <c r="W574" s="1529"/>
      <c r="X574" s="1529"/>
      <c r="Y574" s="1529"/>
      <c r="Z574" s="1529"/>
      <c r="AA574" s="1529"/>
      <c r="AB574" s="1529"/>
      <c r="AC574" s="1529"/>
      <c r="AD574" s="1529"/>
      <c r="AE574" s="1529"/>
      <c r="AF574" s="1529"/>
      <c r="AG574" s="1529"/>
    </row>
    <row r="575" spans="1:33" ht="18.75" hidden="1" thickBot="1">
      <c r="A575" s="1530"/>
      <c r="B575" s="1532"/>
      <c r="C575" s="1530"/>
      <c r="D575" s="1410" t="s">
        <v>2632</v>
      </c>
      <c r="E575" s="1528" t="s">
        <v>2129</v>
      </c>
      <c r="F575" s="1528" t="s">
        <v>2129</v>
      </c>
      <c r="G575" s="1528" t="s">
        <v>2129</v>
      </c>
      <c r="H575" s="1528" t="s">
        <v>2129</v>
      </c>
      <c r="I575" s="1528" t="s">
        <v>2129</v>
      </c>
      <c r="J575" s="1528" t="s">
        <v>2129</v>
      </c>
      <c r="K575" s="1528" t="s">
        <v>2129</v>
      </c>
      <c r="L575" s="1528" t="s">
        <v>2286</v>
      </c>
      <c r="M575" s="1528">
        <v>166</v>
      </c>
      <c r="N575" s="1528">
        <v>50</v>
      </c>
      <c r="O575" s="1528">
        <v>50</v>
      </c>
      <c r="P575" s="1528"/>
      <c r="Q575" s="1528"/>
      <c r="R575" s="1528"/>
      <c r="S575" s="1528" t="s">
        <v>2129</v>
      </c>
      <c r="T575" s="1528" t="s">
        <v>2129</v>
      </c>
      <c r="U575" s="1528" t="s">
        <v>2129</v>
      </c>
      <c r="V575" s="1528" t="s">
        <v>2129</v>
      </c>
      <c r="W575" s="1528" t="s">
        <v>2129</v>
      </c>
      <c r="X575" s="1528" t="s">
        <v>2129</v>
      </c>
      <c r="Y575" s="1528" t="s">
        <v>2129</v>
      </c>
      <c r="Z575" s="1528" t="s">
        <v>2129</v>
      </c>
      <c r="AA575" s="1528" t="s">
        <v>2129</v>
      </c>
      <c r="AB575" s="1528" t="s">
        <v>2129</v>
      </c>
      <c r="AC575" s="1528" t="s">
        <v>2129</v>
      </c>
      <c r="AD575" s="1528" t="s">
        <v>2129</v>
      </c>
      <c r="AE575" s="1528" t="s">
        <v>2129</v>
      </c>
      <c r="AF575" s="1528" t="s">
        <v>2129</v>
      </c>
      <c r="AG575" s="1528" t="s">
        <v>2129</v>
      </c>
    </row>
    <row r="576" spans="1:33" ht="101.25" hidden="1" thickBot="1">
      <c r="A576" s="1530"/>
      <c r="B576" s="1532"/>
      <c r="C576" s="1530"/>
      <c r="D576" s="1409" t="s">
        <v>2628</v>
      </c>
      <c r="E576" s="1529"/>
      <c r="F576" s="1529"/>
      <c r="G576" s="1529"/>
      <c r="H576" s="1529"/>
      <c r="I576" s="1529"/>
      <c r="J576" s="1529"/>
      <c r="K576" s="1529"/>
      <c r="L576" s="1529"/>
      <c r="M576" s="1529"/>
      <c r="N576" s="1529"/>
      <c r="O576" s="1529"/>
      <c r="P576" s="1529"/>
      <c r="Q576" s="1529"/>
      <c r="R576" s="1529"/>
      <c r="S576" s="1529"/>
      <c r="T576" s="1529"/>
      <c r="U576" s="1529"/>
      <c r="V576" s="1529"/>
      <c r="W576" s="1529"/>
      <c r="X576" s="1529"/>
      <c r="Y576" s="1529"/>
      <c r="Z576" s="1529"/>
      <c r="AA576" s="1529"/>
      <c r="AB576" s="1529"/>
      <c r="AC576" s="1529"/>
      <c r="AD576" s="1529"/>
      <c r="AE576" s="1529"/>
      <c r="AF576" s="1529"/>
      <c r="AG576" s="1529"/>
    </row>
    <row r="577" spans="1:33" ht="18.75" hidden="1" thickBot="1">
      <c r="A577" s="1530"/>
      <c r="B577" s="1532"/>
      <c r="C577" s="1530"/>
      <c r="D577" s="1410" t="s">
        <v>2633</v>
      </c>
      <c r="E577" s="1528" t="s">
        <v>2129</v>
      </c>
      <c r="F577" s="1528" t="s">
        <v>2129</v>
      </c>
      <c r="G577" s="1528" t="s">
        <v>2129</v>
      </c>
      <c r="H577" s="1528" t="s">
        <v>2129</v>
      </c>
      <c r="I577" s="1528" t="s">
        <v>2129</v>
      </c>
      <c r="J577" s="1528" t="s">
        <v>2129</v>
      </c>
      <c r="K577" s="1528" t="s">
        <v>2129</v>
      </c>
      <c r="L577" s="1528" t="s">
        <v>2286</v>
      </c>
      <c r="M577" s="1528">
        <v>166</v>
      </c>
      <c r="N577" s="1528">
        <v>50</v>
      </c>
      <c r="O577" s="1528">
        <v>50</v>
      </c>
      <c r="P577" s="1528"/>
      <c r="Q577" s="1528"/>
      <c r="R577" s="1528"/>
      <c r="S577" s="1528" t="s">
        <v>2129</v>
      </c>
      <c r="T577" s="1528" t="s">
        <v>2129</v>
      </c>
      <c r="U577" s="1528" t="s">
        <v>2129</v>
      </c>
      <c r="V577" s="1528" t="s">
        <v>2129</v>
      </c>
      <c r="W577" s="1528" t="s">
        <v>2129</v>
      </c>
      <c r="X577" s="1528" t="s">
        <v>2129</v>
      </c>
      <c r="Y577" s="1528" t="s">
        <v>2129</v>
      </c>
      <c r="Z577" s="1528" t="s">
        <v>2129</v>
      </c>
      <c r="AA577" s="1528" t="s">
        <v>2129</v>
      </c>
      <c r="AB577" s="1528" t="s">
        <v>2129</v>
      </c>
      <c r="AC577" s="1528" t="s">
        <v>2129</v>
      </c>
      <c r="AD577" s="1528" t="s">
        <v>2129</v>
      </c>
      <c r="AE577" s="1528" t="s">
        <v>2129</v>
      </c>
      <c r="AF577" s="1528" t="s">
        <v>2129</v>
      </c>
      <c r="AG577" s="1528" t="s">
        <v>2129</v>
      </c>
    </row>
    <row r="578" spans="1:33" ht="101.25" hidden="1" thickBot="1">
      <c r="A578" s="1529"/>
      <c r="B578" s="1533"/>
      <c r="C578" s="1529"/>
      <c r="D578" s="1409" t="s">
        <v>2628</v>
      </c>
      <c r="E578" s="1529"/>
      <c r="F578" s="1529"/>
      <c r="G578" s="1529"/>
      <c r="H578" s="1529"/>
      <c r="I578" s="1529"/>
      <c r="J578" s="1529"/>
      <c r="K578" s="1529"/>
      <c r="L578" s="1529"/>
      <c r="M578" s="1529"/>
      <c r="N578" s="1529"/>
      <c r="O578" s="1529"/>
      <c r="P578" s="1529"/>
      <c r="Q578" s="1529"/>
      <c r="R578" s="1529"/>
      <c r="S578" s="1529"/>
      <c r="T578" s="1529"/>
      <c r="U578" s="1529"/>
      <c r="V578" s="1529"/>
      <c r="W578" s="1529"/>
      <c r="X578" s="1529"/>
      <c r="Y578" s="1529"/>
      <c r="Z578" s="1529"/>
      <c r="AA578" s="1529"/>
      <c r="AB578" s="1529"/>
      <c r="AC578" s="1529"/>
      <c r="AD578" s="1529"/>
      <c r="AE578" s="1529"/>
      <c r="AF578" s="1529"/>
      <c r="AG578" s="1529"/>
    </row>
    <row r="579" spans="1:33" ht="23.25" hidden="1" customHeight="1" thickBot="1">
      <c r="A579" s="1528">
        <v>68</v>
      </c>
      <c r="B579" s="1531">
        <v>1.7224300000000002E+35</v>
      </c>
      <c r="C579" s="1528" t="s">
        <v>2323</v>
      </c>
      <c r="D579" s="1528" t="s">
        <v>2634</v>
      </c>
      <c r="E579" s="1528">
        <v>3378.2</v>
      </c>
      <c r="F579" s="1528"/>
      <c r="G579" s="1528">
        <v>3378.2</v>
      </c>
      <c r="H579" s="1528">
        <v>3378.2</v>
      </c>
      <c r="I579" s="1528">
        <v>0</v>
      </c>
      <c r="J579" s="1528">
        <v>0</v>
      </c>
      <c r="K579" s="1528">
        <v>0</v>
      </c>
      <c r="L579" s="1528" t="s">
        <v>2129</v>
      </c>
      <c r="M579" s="1528" t="s">
        <v>2129</v>
      </c>
      <c r="N579" s="1528" t="s">
        <v>2129</v>
      </c>
      <c r="O579" s="1528" t="s">
        <v>2129</v>
      </c>
      <c r="P579" s="1528" t="s">
        <v>2129</v>
      </c>
      <c r="Q579" s="1528" t="s">
        <v>2129</v>
      </c>
      <c r="R579" s="1528" t="s">
        <v>2129</v>
      </c>
      <c r="S579" s="1410" t="s">
        <v>2149</v>
      </c>
      <c r="T579" s="1528">
        <v>33.78</v>
      </c>
      <c r="U579" s="1528">
        <v>253.37</v>
      </c>
      <c r="V579" s="1528">
        <v>5.2016999999999998</v>
      </c>
      <c r="W579" s="1528">
        <v>12.201700000000001</v>
      </c>
      <c r="X579" s="1528" t="s">
        <v>2281</v>
      </c>
      <c r="Y579" s="1528" t="s">
        <v>2132</v>
      </c>
      <c r="Z579" s="1528" t="s">
        <v>2282</v>
      </c>
      <c r="AA579" s="1528" t="s">
        <v>2301</v>
      </c>
      <c r="AB579" s="1528"/>
      <c r="AC579" s="1528"/>
      <c r="AD579" s="1528" t="s">
        <v>2609</v>
      </c>
      <c r="AE579" s="1410" t="s">
        <v>2134</v>
      </c>
      <c r="AF579" s="1528"/>
      <c r="AG579" s="1528" t="s">
        <v>2283</v>
      </c>
    </row>
    <row r="580" spans="1:33" ht="93" hidden="1" thickBot="1">
      <c r="A580" s="1530"/>
      <c r="B580" s="1532"/>
      <c r="C580" s="1530"/>
      <c r="D580" s="1530"/>
      <c r="E580" s="1530"/>
      <c r="F580" s="1530"/>
      <c r="G580" s="1530"/>
      <c r="H580" s="1530"/>
      <c r="I580" s="1530"/>
      <c r="J580" s="1530"/>
      <c r="K580" s="1530"/>
      <c r="L580" s="1530"/>
      <c r="M580" s="1530"/>
      <c r="N580" s="1530"/>
      <c r="O580" s="1530"/>
      <c r="P580" s="1530"/>
      <c r="Q580" s="1530"/>
      <c r="R580" s="1530"/>
      <c r="S580" s="1410" t="s">
        <v>2293</v>
      </c>
      <c r="T580" s="1530"/>
      <c r="U580" s="1530"/>
      <c r="V580" s="1530"/>
      <c r="W580" s="1530"/>
      <c r="X580" s="1530"/>
      <c r="Y580" s="1530"/>
      <c r="Z580" s="1530"/>
      <c r="AA580" s="1530"/>
      <c r="AB580" s="1530"/>
      <c r="AC580" s="1530"/>
      <c r="AD580" s="1530"/>
      <c r="AE580" s="1410" t="s">
        <v>2136</v>
      </c>
      <c r="AF580" s="1530"/>
      <c r="AG580" s="1530"/>
    </row>
    <row r="581" spans="1:33" ht="15.75" hidden="1" thickBot="1">
      <c r="A581" s="1530"/>
      <c r="B581" s="1532"/>
      <c r="C581" s="1530"/>
      <c r="D581" s="1529"/>
      <c r="E581" s="1529"/>
      <c r="F581" s="1529"/>
      <c r="G581" s="1529"/>
      <c r="H581" s="1529"/>
      <c r="I581" s="1529"/>
      <c r="J581" s="1529"/>
      <c r="K581" s="1529"/>
      <c r="L581" s="1529"/>
      <c r="M581" s="1529"/>
      <c r="N581" s="1529"/>
      <c r="O581" s="1529"/>
      <c r="P581" s="1529"/>
      <c r="Q581" s="1529"/>
      <c r="R581" s="1529"/>
      <c r="S581" s="1409"/>
      <c r="T581" s="1529"/>
      <c r="U581" s="1529"/>
      <c r="V581" s="1529"/>
      <c r="W581" s="1529"/>
      <c r="X581" s="1529"/>
      <c r="Y581" s="1529"/>
      <c r="Z581" s="1529"/>
      <c r="AA581" s="1529"/>
      <c r="AB581" s="1529"/>
      <c r="AC581" s="1529"/>
      <c r="AD581" s="1529"/>
      <c r="AE581" s="1409"/>
      <c r="AF581" s="1529"/>
      <c r="AG581" s="1529"/>
    </row>
    <row r="582" spans="1:33" ht="15.75" hidden="1" thickBot="1">
      <c r="A582" s="1530"/>
      <c r="B582" s="1532"/>
      <c r="C582" s="1530"/>
      <c r="D582" s="1409" t="s">
        <v>2635</v>
      </c>
      <c r="E582" s="1409" t="s">
        <v>2129</v>
      </c>
      <c r="F582" s="1409" t="s">
        <v>2129</v>
      </c>
      <c r="G582" s="1409" t="s">
        <v>2129</v>
      </c>
      <c r="H582" s="1409" t="s">
        <v>2129</v>
      </c>
      <c r="I582" s="1409" t="s">
        <v>2129</v>
      </c>
      <c r="J582" s="1409" t="s">
        <v>2129</v>
      </c>
      <c r="K582" s="1409" t="s">
        <v>2129</v>
      </c>
      <c r="L582" s="1409" t="s">
        <v>2286</v>
      </c>
      <c r="M582" s="1409">
        <v>166</v>
      </c>
      <c r="N582" s="1409">
        <v>1</v>
      </c>
      <c r="O582" s="1409">
        <v>1</v>
      </c>
      <c r="P582" s="1409"/>
      <c r="Q582" s="1409"/>
      <c r="R582" s="1409"/>
      <c r="S582" s="1409" t="s">
        <v>2129</v>
      </c>
      <c r="T582" s="1409" t="s">
        <v>2129</v>
      </c>
      <c r="U582" s="1409" t="s">
        <v>2129</v>
      </c>
      <c r="V582" s="1409" t="s">
        <v>2129</v>
      </c>
      <c r="W582" s="1409" t="s">
        <v>2129</v>
      </c>
      <c r="X582" s="1409" t="s">
        <v>2129</v>
      </c>
      <c r="Y582" s="1409" t="s">
        <v>2129</v>
      </c>
      <c r="Z582" s="1409" t="s">
        <v>2129</v>
      </c>
      <c r="AA582" s="1409" t="s">
        <v>2129</v>
      </c>
      <c r="AB582" s="1409" t="s">
        <v>2129</v>
      </c>
      <c r="AC582" s="1409" t="s">
        <v>2129</v>
      </c>
      <c r="AD582" s="1409" t="s">
        <v>2129</v>
      </c>
      <c r="AE582" s="1409" t="s">
        <v>2129</v>
      </c>
      <c r="AF582" s="1409" t="s">
        <v>2129</v>
      </c>
      <c r="AG582" s="1409" t="s">
        <v>2129</v>
      </c>
    </row>
    <row r="583" spans="1:33" ht="15.75" hidden="1" thickBot="1">
      <c r="A583" s="1530"/>
      <c r="B583" s="1532"/>
      <c r="C583" s="1530"/>
      <c r="D583" s="1410" t="s">
        <v>2323</v>
      </c>
      <c r="E583" s="1528" t="s">
        <v>2129</v>
      </c>
      <c r="F583" s="1528" t="s">
        <v>2129</v>
      </c>
      <c r="G583" s="1528" t="s">
        <v>2129</v>
      </c>
      <c r="H583" s="1528" t="s">
        <v>2129</v>
      </c>
      <c r="I583" s="1528" t="s">
        <v>2129</v>
      </c>
      <c r="J583" s="1528" t="s">
        <v>2129</v>
      </c>
      <c r="K583" s="1528" t="s">
        <v>2129</v>
      </c>
      <c r="L583" s="1528" t="s">
        <v>2286</v>
      </c>
      <c r="M583" s="1528">
        <v>166</v>
      </c>
      <c r="N583" s="1528">
        <v>199</v>
      </c>
      <c r="O583" s="1528">
        <v>199</v>
      </c>
      <c r="P583" s="1528"/>
      <c r="Q583" s="1528"/>
      <c r="R583" s="1528"/>
      <c r="S583" s="1528" t="s">
        <v>2129</v>
      </c>
      <c r="T583" s="1528" t="s">
        <v>2129</v>
      </c>
      <c r="U583" s="1528" t="s">
        <v>2129</v>
      </c>
      <c r="V583" s="1528" t="s">
        <v>2129</v>
      </c>
      <c r="W583" s="1528" t="s">
        <v>2129</v>
      </c>
      <c r="X583" s="1528" t="s">
        <v>2129</v>
      </c>
      <c r="Y583" s="1528" t="s">
        <v>2129</v>
      </c>
      <c r="Z583" s="1528" t="s">
        <v>2129</v>
      </c>
      <c r="AA583" s="1528" t="s">
        <v>2129</v>
      </c>
      <c r="AB583" s="1528" t="s">
        <v>2129</v>
      </c>
      <c r="AC583" s="1528" t="s">
        <v>2129</v>
      </c>
      <c r="AD583" s="1528" t="s">
        <v>2129</v>
      </c>
      <c r="AE583" s="1528" t="s">
        <v>2129</v>
      </c>
      <c r="AF583" s="1528" t="s">
        <v>2129</v>
      </c>
      <c r="AG583" s="1528" t="s">
        <v>2129</v>
      </c>
    </row>
    <row r="584" spans="1:33" ht="332.25" hidden="1" thickBot="1">
      <c r="A584" s="1529"/>
      <c r="B584" s="1533"/>
      <c r="C584" s="1529"/>
      <c r="D584" s="1409" t="s">
        <v>2636</v>
      </c>
      <c r="E584" s="1529"/>
      <c r="F584" s="1529"/>
      <c r="G584" s="1529"/>
      <c r="H584" s="1529"/>
      <c r="I584" s="1529"/>
      <c r="J584" s="1529"/>
      <c r="K584" s="1529"/>
      <c r="L584" s="1529"/>
      <c r="M584" s="1529"/>
      <c r="N584" s="1529"/>
      <c r="O584" s="1529"/>
      <c r="P584" s="1529"/>
      <c r="Q584" s="1529"/>
      <c r="R584" s="1529"/>
      <c r="S584" s="1529"/>
      <c r="T584" s="1529"/>
      <c r="U584" s="1529"/>
      <c r="V584" s="1529"/>
      <c r="W584" s="1529"/>
      <c r="X584" s="1529"/>
      <c r="Y584" s="1529"/>
      <c r="Z584" s="1529"/>
      <c r="AA584" s="1529"/>
      <c r="AB584" s="1529"/>
      <c r="AC584" s="1529"/>
      <c r="AD584" s="1529"/>
      <c r="AE584" s="1529"/>
      <c r="AF584" s="1529"/>
      <c r="AG584" s="1529"/>
    </row>
    <row r="585" spans="1:33" ht="23.25" hidden="1" customHeight="1" thickBot="1">
      <c r="A585" s="1528">
        <v>69</v>
      </c>
      <c r="B585" s="1531">
        <v>1.7224300000000002E+35</v>
      </c>
      <c r="C585" s="1528" t="s">
        <v>2637</v>
      </c>
      <c r="D585" s="1528" t="s">
        <v>2638</v>
      </c>
      <c r="E585" s="1528">
        <v>2740.6</v>
      </c>
      <c r="F585" s="1528"/>
      <c r="G585" s="1528">
        <v>2740.6</v>
      </c>
      <c r="H585" s="1528">
        <v>2740.6</v>
      </c>
      <c r="I585" s="1528">
        <v>0</v>
      </c>
      <c r="J585" s="1528">
        <v>0</v>
      </c>
      <c r="K585" s="1528">
        <v>0</v>
      </c>
      <c r="L585" s="1528" t="s">
        <v>2129</v>
      </c>
      <c r="M585" s="1528" t="s">
        <v>2129</v>
      </c>
      <c r="N585" s="1528" t="s">
        <v>2129</v>
      </c>
      <c r="O585" s="1528" t="s">
        <v>2129</v>
      </c>
      <c r="P585" s="1528" t="s">
        <v>2129</v>
      </c>
      <c r="Q585" s="1528" t="s">
        <v>2129</v>
      </c>
      <c r="R585" s="1528" t="s">
        <v>2129</v>
      </c>
      <c r="S585" s="1410" t="s">
        <v>2169</v>
      </c>
      <c r="T585" s="1528">
        <v>27.41</v>
      </c>
      <c r="U585" s="1528">
        <v>258.44</v>
      </c>
      <c r="V585" s="1528">
        <v>5.2016999999999998</v>
      </c>
      <c r="W585" s="1528">
        <v>12.201700000000001</v>
      </c>
      <c r="X585" s="1528" t="s">
        <v>2281</v>
      </c>
      <c r="Y585" s="1528" t="s">
        <v>2132</v>
      </c>
      <c r="Z585" s="1528" t="s">
        <v>2282</v>
      </c>
      <c r="AA585" s="1528" t="s">
        <v>2301</v>
      </c>
      <c r="AB585" s="1528"/>
      <c r="AC585" s="1528"/>
      <c r="AD585" s="1528" t="s">
        <v>2609</v>
      </c>
      <c r="AE585" s="1410" t="s">
        <v>2134</v>
      </c>
      <c r="AF585" s="1528"/>
      <c r="AG585" s="1528" t="s">
        <v>2283</v>
      </c>
    </row>
    <row r="586" spans="1:33" ht="101.25" hidden="1" thickBot="1">
      <c r="A586" s="1530"/>
      <c r="B586" s="1532"/>
      <c r="C586" s="1530"/>
      <c r="D586" s="1530"/>
      <c r="E586" s="1530"/>
      <c r="F586" s="1530"/>
      <c r="G586" s="1530"/>
      <c r="H586" s="1530"/>
      <c r="I586" s="1530"/>
      <c r="J586" s="1530"/>
      <c r="K586" s="1530"/>
      <c r="L586" s="1530"/>
      <c r="M586" s="1530"/>
      <c r="N586" s="1530"/>
      <c r="O586" s="1530"/>
      <c r="P586" s="1530"/>
      <c r="Q586" s="1530"/>
      <c r="R586" s="1530"/>
      <c r="S586" s="1410" t="s">
        <v>2284</v>
      </c>
      <c r="T586" s="1530"/>
      <c r="U586" s="1530"/>
      <c r="V586" s="1530"/>
      <c r="W586" s="1530"/>
      <c r="X586" s="1530"/>
      <c r="Y586" s="1530"/>
      <c r="Z586" s="1530"/>
      <c r="AA586" s="1530"/>
      <c r="AB586" s="1530"/>
      <c r="AC586" s="1530"/>
      <c r="AD586" s="1530"/>
      <c r="AE586" s="1410" t="s">
        <v>2136</v>
      </c>
      <c r="AF586" s="1530"/>
      <c r="AG586" s="1530"/>
    </row>
    <row r="587" spans="1:33" ht="15.75" hidden="1" thickBot="1">
      <c r="A587" s="1530"/>
      <c r="B587" s="1532"/>
      <c r="C587" s="1530"/>
      <c r="D587" s="1529"/>
      <c r="E587" s="1529"/>
      <c r="F587" s="1529"/>
      <c r="G587" s="1529"/>
      <c r="H587" s="1529"/>
      <c r="I587" s="1529"/>
      <c r="J587" s="1529"/>
      <c r="K587" s="1529"/>
      <c r="L587" s="1529"/>
      <c r="M587" s="1529"/>
      <c r="N587" s="1529"/>
      <c r="O587" s="1529"/>
      <c r="P587" s="1529"/>
      <c r="Q587" s="1529"/>
      <c r="R587" s="1529"/>
      <c r="S587" s="1409"/>
      <c r="T587" s="1529"/>
      <c r="U587" s="1529"/>
      <c r="V587" s="1529"/>
      <c r="W587" s="1529"/>
      <c r="X587" s="1529"/>
      <c r="Y587" s="1529"/>
      <c r="Z587" s="1529"/>
      <c r="AA587" s="1529"/>
      <c r="AB587" s="1529"/>
      <c r="AC587" s="1529"/>
      <c r="AD587" s="1529"/>
      <c r="AE587" s="1409"/>
      <c r="AF587" s="1529"/>
      <c r="AG587" s="1529"/>
    </row>
    <row r="588" spans="1:33" ht="18.75" hidden="1" thickBot="1">
      <c r="A588" s="1530"/>
      <c r="B588" s="1532"/>
      <c r="C588" s="1530"/>
      <c r="D588" s="1410" t="s">
        <v>2639</v>
      </c>
      <c r="E588" s="1528" t="s">
        <v>2129</v>
      </c>
      <c r="F588" s="1528" t="s">
        <v>2129</v>
      </c>
      <c r="G588" s="1528" t="s">
        <v>2129</v>
      </c>
      <c r="H588" s="1528" t="s">
        <v>2129</v>
      </c>
      <c r="I588" s="1528" t="s">
        <v>2129</v>
      </c>
      <c r="J588" s="1528" t="s">
        <v>2129</v>
      </c>
      <c r="K588" s="1528" t="s">
        <v>2129</v>
      </c>
      <c r="L588" s="1528" t="s">
        <v>2286</v>
      </c>
      <c r="M588" s="1528">
        <v>166</v>
      </c>
      <c r="N588" s="1528">
        <v>1</v>
      </c>
      <c r="O588" s="1528">
        <v>1</v>
      </c>
      <c r="P588" s="1528"/>
      <c r="Q588" s="1528"/>
      <c r="R588" s="1528"/>
      <c r="S588" s="1528" t="s">
        <v>2129</v>
      </c>
      <c r="T588" s="1528" t="s">
        <v>2129</v>
      </c>
      <c r="U588" s="1528" t="s">
        <v>2129</v>
      </c>
      <c r="V588" s="1528" t="s">
        <v>2129</v>
      </c>
      <c r="W588" s="1528" t="s">
        <v>2129</v>
      </c>
      <c r="X588" s="1528" t="s">
        <v>2129</v>
      </c>
      <c r="Y588" s="1528" t="s">
        <v>2129</v>
      </c>
      <c r="Z588" s="1528" t="s">
        <v>2129</v>
      </c>
      <c r="AA588" s="1528" t="s">
        <v>2129</v>
      </c>
      <c r="AB588" s="1528" t="s">
        <v>2129</v>
      </c>
      <c r="AC588" s="1528" t="s">
        <v>2129</v>
      </c>
      <c r="AD588" s="1528" t="s">
        <v>2129</v>
      </c>
      <c r="AE588" s="1528" t="s">
        <v>2129</v>
      </c>
      <c r="AF588" s="1528" t="s">
        <v>2129</v>
      </c>
      <c r="AG588" s="1528" t="s">
        <v>2129</v>
      </c>
    </row>
    <row r="589" spans="1:33" ht="93" hidden="1" thickBot="1">
      <c r="A589" s="1530"/>
      <c r="B589" s="1532"/>
      <c r="C589" s="1530"/>
      <c r="D589" s="1409" t="s">
        <v>2640</v>
      </c>
      <c r="E589" s="1529"/>
      <c r="F589" s="1529"/>
      <c r="G589" s="1529"/>
      <c r="H589" s="1529"/>
      <c r="I589" s="1529"/>
      <c r="J589" s="1529"/>
      <c r="K589" s="1529"/>
      <c r="L589" s="1529"/>
      <c r="M589" s="1529"/>
      <c r="N589" s="1529"/>
      <c r="O589" s="1529"/>
      <c r="P589" s="1529"/>
      <c r="Q589" s="1529"/>
      <c r="R589" s="1529"/>
      <c r="S589" s="1529"/>
      <c r="T589" s="1529"/>
      <c r="U589" s="1529"/>
      <c r="V589" s="1529"/>
      <c r="W589" s="1529"/>
      <c r="X589" s="1529"/>
      <c r="Y589" s="1529"/>
      <c r="Z589" s="1529"/>
      <c r="AA589" s="1529"/>
      <c r="AB589" s="1529"/>
      <c r="AC589" s="1529"/>
      <c r="AD589" s="1529"/>
      <c r="AE589" s="1529"/>
      <c r="AF589" s="1529"/>
      <c r="AG589" s="1529"/>
    </row>
    <row r="590" spans="1:33" ht="18.75" hidden="1" thickBot="1">
      <c r="A590" s="1530"/>
      <c r="B590" s="1532"/>
      <c r="C590" s="1530"/>
      <c r="D590" s="1410" t="s">
        <v>506</v>
      </c>
      <c r="E590" s="1528" t="s">
        <v>2129</v>
      </c>
      <c r="F590" s="1528" t="s">
        <v>2129</v>
      </c>
      <c r="G590" s="1528" t="s">
        <v>2129</v>
      </c>
      <c r="H590" s="1528" t="s">
        <v>2129</v>
      </c>
      <c r="I590" s="1528" t="s">
        <v>2129</v>
      </c>
      <c r="J590" s="1528" t="s">
        <v>2129</v>
      </c>
      <c r="K590" s="1528" t="s">
        <v>2129</v>
      </c>
      <c r="L590" s="1528" t="s">
        <v>2286</v>
      </c>
      <c r="M590" s="1528">
        <v>166</v>
      </c>
      <c r="N590" s="1528">
        <v>104</v>
      </c>
      <c r="O590" s="1528">
        <v>104</v>
      </c>
      <c r="P590" s="1528"/>
      <c r="Q590" s="1528"/>
      <c r="R590" s="1528"/>
      <c r="S590" s="1528" t="s">
        <v>2129</v>
      </c>
      <c r="T590" s="1528" t="s">
        <v>2129</v>
      </c>
      <c r="U590" s="1528" t="s">
        <v>2129</v>
      </c>
      <c r="V590" s="1528" t="s">
        <v>2129</v>
      </c>
      <c r="W590" s="1528" t="s">
        <v>2129</v>
      </c>
      <c r="X590" s="1528" t="s">
        <v>2129</v>
      </c>
      <c r="Y590" s="1528" t="s">
        <v>2129</v>
      </c>
      <c r="Z590" s="1528" t="s">
        <v>2129</v>
      </c>
      <c r="AA590" s="1528" t="s">
        <v>2129</v>
      </c>
      <c r="AB590" s="1528" t="s">
        <v>2129</v>
      </c>
      <c r="AC590" s="1528" t="s">
        <v>2129</v>
      </c>
      <c r="AD590" s="1528" t="s">
        <v>2129</v>
      </c>
      <c r="AE590" s="1528" t="s">
        <v>2129</v>
      </c>
      <c r="AF590" s="1528" t="s">
        <v>2129</v>
      </c>
      <c r="AG590" s="1528" t="s">
        <v>2129</v>
      </c>
    </row>
    <row r="591" spans="1:33" ht="93" hidden="1" thickBot="1">
      <c r="A591" s="1529"/>
      <c r="B591" s="1533"/>
      <c r="C591" s="1529"/>
      <c r="D591" s="1409" t="s">
        <v>2640</v>
      </c>
      <c r="E591" s="1529"/>
      <c r="F591" s="1529"/>
      <c r="G591" s="1529"/>
      <c r="H591" s="1529"/>
      <c r="I591" s="1529"/>
      <c r="J591" s="1529"/>
      <c r="K591" s="1529"/>
      <c r="L591" s="1529"/>
      <c r="M591" s="1529"/>
      <c r="N591" s="1529"/>
      <c r="O591" s="1529"/>
      <c r="P591" s="1529"/>
      <c r="Q591" s="1529"/>
      <c r="R591" s="1529"/>
      <c r="S591" s="1529"/>
      <c r="T591" s="1529"/>
      <c r="U591" s="1529"/>
      <c r="V591" s="1529"/>
      <c r="W591" s="1529"/>
      <c r="X591" s="1529"/>
      <c r="Y591" s="1529"/>
      <c r="Z591" s="1529"/>
      <c r="AA591" s="1529"/>
      <c r="AB591" s="1529"/>
      <c r="AC591" s="1529"/>
      <c r="AD591" s="1529"/>
      <c r="AE591" s="1529"/>
      <c r="AF591" s="1529"/>
      <c r="AG591" s="1529"/>
    </row>
    <row r="592" spans="1:33" ht="23.25" hidden="1" customHeight="1" thickBot="1">
      <c r="A592" s="1528">
        <v>70</v>
      </c>
      <c r="B592" s="1531">
        <v>1.7224300000000002E+35</v>
      </c>
      <c r="C592" s="1528" t="s">
        <v>2641</v>
      </c>
      <c r="D592" s="1528" t="s">
        <v>2642</v>
      </c>
      <c r="E592" s="1528">
        <v>64926</v>
      </c>
      <c r="F592" s="1528"/>
      <c r="G592" s="1528">
        <v>64926</v>
      </c>
      <c r="H592" s="1528">
        <v>64926</v>
      </c>
      <c r="I592" s="1528">
        <v>0</v>
      </c>
      <c r="J592" s="1528">
        <v>0</v>
      </c>
      <c r="K592" s="1528">
        <v>0</v>
      </c>
      <c r="L592" s="1528" t="s">
        <v>2129</v>
      </c>
      <c r="M592" s="1528" t="s">
        <v>2129</v>
      </c>
      <c r="N592" s="1528" t="s">
        <v>2129</v>
      </c>
      <c r="O592" s="1528" t="s">
        <v>2129</v>
      </c>
      <c r="P592" s="1528" t="s">
        <v>2129</v>
      </c>
      <c r="Q592" s="1528" t="s">
        <v>2129</v>
      </c>
      <c r="R592" s="1528" t="s">
        <v>2129</v>
      </c>
      <c r="S592" s="1410" t="s">
        <v>2335</v>
      </c>
      <c r="T592" s="1528">
        <v>649.26</v>
      </c>
      <c r="U592" s="1528">
        <v>11329.59</v>
      </c>
      <c r="V592" s="1528">
        <v>5.2016999999999998</v>
      </c>
      <c r="W592" s="1528">
        <v>12.201700000000001</v>
      </c>
      <c r="X592" s="1528" t="s">
        <v>2281</v>
      </c>
      <c r="Y592" s="1528" t="s">
        <v>2132</v>
      </c>
      <c r="Z592" s="1528" t="s">
        <v>2282</v>
      </c>
      <c r="AA592" s="1528"/>
      <c r="AB592" s="1528"/>
      <c r="AC592" s="1528"/>
      <c r="AD592" s="1528" t="s">
        <v>2609</v>
      </c>
      <c r="AE592" s="1410" t="s">
        <v>2134</v>
      </c>
      <c r="AF592" s="1528"/>
      <c r="AG592" s="1528" t="s">
        <v>2283</v>
      </c>
    </row>
    <row r="593" spans="1:33" ht="93" hidden="1" thickBot="1">
      <c r="A593" s="1530"/>
      <c r="B593" s="1532"/>
      <c r="C593" s="1530"/>
      <c r="D593" s="1529"/>
      <c r="E593" s="1529"/>
      <c r="F593" s="1529"/>
      <c r="G593" s="1529"/>
      <c r="H593" s="1529"/>
      <c r="I593" s="1529"/>
      <c r="J593" s="1529"/>
      <c r="K593" s="1529"/>
      <c r="L593" s="1529"/>
      <c r="M593" s="1529"/>
      <c r="N593" s="1529"/>
      <c r="O593" s="1529"/>
      <c r="P593" s="1529"/>
      <c r="Q593" s="1529"/>
      <c r="R593" s="1529"/>
      <c r="S593" s="1409" t="s">
        <v>2189</v>
      </c>
      <c r="T593" s="1529"/>
      <c r="U593" s="1529"/>
      <c r="V593" s="1529"/>
      <c r="W593" s="1529"/>
      <c r="X593" s="1529"/>
      <c r="Y593" s="1529"/>
      <c r="Z593" s="1529"/>
      <c r="AA593" s="1529"/>
      <c r="AB593" s="1529"/>
      <c r="AC593" s="1529"/>
      <c r="AD593" s="1529"/>
      <c r="AE593" s="1409" t="s">
        <v>2136</v>
      </c>
      <c r="AF593" s="1529"/>
      <c r="AG593" s="1529"/>
    </row>
    <row r="594" spans="1:33" ht="18.75" hidden="1" thickBot="1">
      <c r="A594" s="1530"/>
      <c r="B594" s="1532"/>
      <c r="C594" s="1530"/>
      <c r="D594" s="1410" t="s">
        <v>2338</v>
      </c>
      <c r="E594" s="1528" t="s">
        <v>2129</v>
      </c>
      <c r="F594" s="1528" t="s">
        <v>2129</v>
      </c>
      <c r="G594" s="1528" t="s">
        <v>2129</v>
      </c>
      <c r="H594" s="1528" t="s">
        <v>2129</v>
      </c>
      <c r="I594" s="1528" t="s">
        <v>2129</v>
      </c>
      <c r="J594" s="1528" t="s">
        <v>2129</v>
      </c>
      <c r="K594" s="1528" t="s">
        <v>2129</v>
      </c>
      <c r="L594" s="1528" t="s">
        <v>2339</v>
      </c>
      <c r="M594" s="1528">
        <v>112</v>
      </c>
      <c r="N594" s="1528">
        <v>1800</v>
      </c>
      <c r="O594" s="1528">
        <v>1800</v>
      </c>
      <c r="P594" s="1528"/>
      <c r="Q594" s="1528"/>
      <c r="R594" s="1528"/>
      <c r="S594" s="1528" t="s">
        <v>2129</v>
      </c>
      <c r="T594" s="1528" t="s">
        <v>2129</v>
      </c>
      <c r="U594" s="1528" t="s">
        <v>2129</v>
      </c>
      <c r="V594" s="1528" t="s">
        <v>2129</v>
      </c>
      <c r="W594" s="1528" t="s">
        <v>2129</v>
      </c>
      <c r="X594" s="1528" t="s">
        <v>2129</v>
      </c>
      <c r="Y594" s="1528" t="s">
        <v>2129</v>
      </c>
      <c r="Z594" s="1528" t="s">
        <v>2129</v>
      </c>
      <c r="AA594" s="1528" t="s">
        <v>2129</v>
      </c>
      <c r="AB594" s="1528" t="s">
        <v>2129</v>
      </c>
      <c r="AC594" s="1528" t="s">
        <v>2129</v>
      </c>
      <c r="AD594" s="1528" t="s">
        <v>2129</v>
      </c>
      <c r="AE594" s="1528" t="s">
        <v>2129</v>
      </c>
      <c r="AF594" s="1528" t="s">
        <v>2129</v>
      </c>
      <c r="AG594" s="1528" t="s">
        <v>2129</v>
      </c>
    </row>
    <row r="595" spans="1:33" ht="117.75" hidden="1" thickBot="1">
      <c r="A595" s="1529"/>
      <c r="B595" s="1533"/>
      <c r="C595" s="1529"/>
      <c r="D595" s="1409" t="s">
        <v>2643</v>
      </c>
      <c r="E595" s="1529"/>
      <c r="F595" s="1529"/>
      <c r="G595" s="1529"/>
      <c r="H595" s="1529"/>
      <c r="I595" s="1529"/>
      <c r="J595" s="1529"/>
      <c r="K595" s="1529"/>
      <c r="L595" s="1529"/>
      <c r="M595" s="1529"/>
      <c r="N595" s="1529"/>
      <c r="O595" s="1529"/>
      <c r="P595" s="1529"/>
      <c r="Q595" s="1529"/>
      <c r="R595" s="1529"/>
      <c r="S595" s="1529"/>
      <c r="T595" s="1529"/>
      <c r="U595" s="1529"/>
      <c r="V595" s="1529"/>
      <c r="W595" s="1529"/>
      <c r="X595" s="1529"/>
      <c r="Y595" s="1529"/>
      <c r="Z595" s="1529"/>
      <c r="AA595" s="1529"/>
      <c r="AB595" s="1529"/>
      <c r="AC595" s="1529"/>
      <c r="AD595" s="1529"/>
      <c r="AE595" s="1529"/>
      <c r="AF595" s="1529"/>
      <c r="AG595" s="1529"/>
    </row>
    <row r="596" spans="1:33" ht="175.5" hidden="1" thickBot="1">
      <c r="A596" s="1528">
        <v>71</v>
      </c>
      <c r="B596" s="1531">
        <v>1.7224300000000002E+35</v>
      </c>
      <c r="C596" s="1528" t="s">
        <v>2641</v>
      </c>
      <c r="D596" s="1528" t="s">
        <v>2644</v>
      </c>
      <c r="E596" s="1528">
        <v>41005.68</v>
      </c>
      <c r="F596" s="1528"/>
      <c r="G596" s="1528">
        <v>41005.68</v>
      </c>
      <c r="H596" s="1528">
        <v>41005.68</v>
      </c>
      <c r="I596" s="1528">
        <v>0</v>
      </c>
      <c r="J596" s="1528">
        <v>0</v>
      </c>
      <c r="K596" s="1528">
        <v>0</v>
      </c>
      <c r="L596" s="1528" t="s">
        <v>2129</v>
      </c>
      <c r="M596" s="1528" t="s">
        <v>2129</v>
      </c>
      <c r="N596" s="1528" t="s">
        <v>2129</v>
      </c>
      <c r="O596" s="1528" t="s">
        <v>2129</v>
      </c>
      <c r="P596" s="1528" t="s">
        <v>2129</v>
      </c>
      <c r="Q596" s="1528" t="s">
        <v>2129</v>
      </c>
      <c r="R596" s="1528" t="s">
        <v>2129</v>
      </c>
      <c r="S596" s="1410" t="s">
        <v>2335</v>
      </c>
      <c r="T596" s="1528">
        <v>410.06</v>
      </c>
      <c r="U596" s="1528">
        <v>2050.2800000000002</v>
      </c>
      <c r="V596" s="1528">
        <v>5.2016999999999998</v>
      </c>
      <c r="W596" s="1528">
        <v>12.201700000000001</v>
      </c>
      <c r="X596" s="1528" t="s">
        <v>2281</v>
      </c>
      <c r="Y596" s="1528" t="s">
        <v>2282</v>
      </c>
      <c r="Z596" s="1528" t="s">
        <v>2132</v>
      </c>
      <c r="AA596" s="1528"/>
      <c r="AB596" s="1528"/>
      <c r="AC596" s="1528"/>
      <c r="AD596" s="1528"/>
      <c r="AE596" s="1410" t="s">
        <v>2645</v>
      </c>
      <c r="AF596" s="1528"/>
      <c r="AG596" s="1528" t="s">
        <v>2283</v>
      </c>
    </row>
    <row r="597" spans="1:33" ht="101.25" hidden="1" thickBot="1">
      <c r="A597" s="1530"/>
      <c r="B597" s="1532"/>
      <c r="C597" s="1530"/>
      <c r="D597" s="1529"/>
      <c r="E597" s="1529"/>
      <c r="F597" s="1529"/>
      <c r="G597" s="1529"/>
      <c r="H597" s="1529"/>
      <c r="I597" s="1529"/>
      <c r="J597" s="1529"/>
      <c r="K597" s="1529"/>
      <c r="L597" s="1529"/>
      <c r="M597" s="1529"/>
      <c r="N597" s="1529"/>
      <c r="O597" s="1529"/>
      <c r="P597" s="1529"/>
      <c r="Q597" s="1529"/>
      <c r="R597" s="1529"/>
      <c r="S597" s="1409" t="s">
        <v>2284</v>
      </c>
      <c r="T597" s="1529"/>
      <c r="U597" s="1529"/>
      <c r="V597" s="1529"/>
      <c r="W597" s="1529"/>
      <c r="X597" s="1529"/>
      <c r="Y597" s="1529"/>
      <c r="Z597" s="1529"/>
      <c r="AA597" s="1529"/>
      <c r="AB597" s="1529"/>
      <c r="AC597" s="1529"/>
      <c r="AD597" s="1529"/>
      <c r="AE597" s="1409" t="s">
        <v>2136</v>
      </c>
      <c r="AF597" s="1529"/>
      <c r="AG597" s="1529"/>
    </row>
    <row r="598" spans="1:33" ht="18.75" hidden="1" thickBot="1">
      <c r="A598" s="1530"/>
      <c r="B598" s="1532"/>
      <c r="C598" s="1530"/>
      <c r="D598" s="1410" t="s">
        <v>2351</v>
      </c>
      <c r="E598" s="1528" t="s">
        <v>2129</v>
      </c>
      <c r="F598" s="1528" t="s">
        <v>2129</v>
      </c>
      <c r="G598" s="1528" t="s">
        <v>2129</v>
      </c>
      <c r="H598" s="1528" t="s">
        <v>2129</v>
      </c>
      <c r="I598" s="1528" t="s">
        <v>2129</v>
      </c>
      <c r="J598" s="1528" t="s">
        <v>2129</v>
      </c>
      <c r="K598" s="1528" t="s">
        <v>2129</v>
      </c>
      <c r="L598" s="1528" t="s">
        <v>2286</v>
      </c>
      <c r="M598" s="1528">
        <v>166</v>
      </c>
      <c r="N598" s="1528">
        <v>60</v>
      </c>
      <c r="O598" s="1528">
        <v>60</v>
      </c>
      <c r="P598" s="1528"/>
      <c r="Q598" s="1528"/>
      <c r="R598" s="1528"/>
      <c r="S598" s="1528" t="s">
        <v>2129</v>
      </c>
      <c r="T598" s="1528" t="s">
        <v>2129</v>
      </c>
      <c r="U598" s="1528" t="s">
        <v>2129</v>
      </c>
      <c r="V598" s="1528" t="s">
        <v>2129</v>
      </c>
      <c r="W598" s="1528" t="s">
        <v>2129</v>
      </c>
      <c r="X598" s="1528" t="s">
        <v>2129</v>
      </c>
      <c r="Y598" s="1528" t="s">
        <v>2129</v>
      </c>
      <c r="Z598" s="1528" t="s">
        <v>2129</v>
      </c>
      <c r="AA598" s="1528" t="s">
        <v>2129</v>
      </c>
      <c r="AB598" s="1528" t="s">
        <v>2129</v>
      </c>
      <c r="AC598" s="1528" t="s">
        <v>2129</v>
      </c>
      <c r="AD598" s="1528" t="s">
        <v>2129</v>
      </c>
      <c r="AE598" s="1528" t="s">
        <v>2129</v>
      </c>
      <c r="AF598" s="1528" t="s">
        <v>2129</v>
      </c>
      <c r="AG598" s="1528" t="s">
        <v>2129</v>
      </c>
    </row>
    <row r="599" spans="1:33" ht="68.25" hidden="1" thickBot="1">
      <c r="A599" s="1530"/>
      <c r="B599" s="1532"/>
      <c r="C599" s="1530"/>
      <c r="D599" s="1409" t="s">
        <v>2352</v>
      </c>
      <c r="E599" s="1529"/>
      <c r="F599" s="1529"/>
      <c r="G599" s="1529"/>
      <c r="H599" s="1529"/>
      <c r="I599" s="1529"/>
      <c r="J599" s="1529"/>
      <c r="K599" s="1529"/>
      <c r="L599" s="1529"/>
      <c r="M599" s="1529"/>
      <c r="N599" s="1529"/>
      <c r="O599" s="1529"/>
      <c r="P599" s="1529"/>
      <c r="Q599" s="1529"/>
      <c r="R599" s="1529"/>
      <c r="S599" s="1529"/>
      <c r="T599" s="1529"/>
      <c r="U599" s="1529"/>
      <c r="V599" s="1529"/>
      <c r="W599" s="1529"/>
      <c r="X599" s="1529"/>
      <c r="Y599" s="1529"/>
      <c r="Z599" s="1529"/>
      <c r="AA599" s="1529"/>
      <c r="AB599" s="1529"/>
      <c r="AC599" s="1529"/>
      <c r="AD599" s="1529"/>
      <c r="AE599" s="1529"/>
      <c r="AF599" s="1529"/>
      <c r="AG599" s="1529"/>
    </row>
    <row r="600" spans="1:33" ht="27" hidden="1" thickBot="1">
      <c r="A600" s="1530"/>
      <c r="B600" s="1532"/>
      <c r="C600" s="1530"/>
      <c r="D600" s="1410" t="s">
        <v>2646</v>
      </c>
      <c r="E600" s="1528" t="s">
        <v>2129</v>
      </c>
      <c r="F600" s="1528" t="s">
        <v>2129</v>
      </c>
      <c r="G600" s="1528" t="s">
        <v>2129</v>
      </c>
      <c r="H600" s="1528" t="s">
        <v>2129</v>
      </c>
      <c r="I600" s="1528" t="s">
        <v>2129</v>
      </c>
      <c r="J600" s="1528" t="s">
        <v>2129</v>
      </c>
      <c r="K600" s="1528" t="s">
        <v>2129</v>
      </c>
      <c r="L600" s="1528" t="s">
        <v>2286</v>
      </c>
      <c r="M600" s="1528">
        <v>166</v>
      </c>
      <c r="N600" s="1528">
        <v>48</v>
      </c>
      <c r="O600" s="1528">
        <v>48</v>
      </c>
      <c r="P600" s="1528"/>
      <c r="Q600" s="1528"/>
      <c r="R600" s="1528"/>
      <c r="S600" s="1528" t="s">
        <v>2129</v>
      </c>
      <c r="T600" s="1528" t="s">
        <v>2129</v>
      </c>
      <c r="U600" s="1528" t="s">
        <v>2129</v>
      </c>
      <c r="V600" s="1528" t="s">
        <v>2129</v>
      </c>
      <c r="W600" s="1528" t="s">
        <v>2129</v>
      </c>
      <c r="X600" s="1528" t="s">
        <v>2129</v>
      </c>
      <c r="Y600" s="1528" t="s">
        <v>2129</v>
      </c>
      <c r="Z600" s="1528" t="s">
        <v>2129</v>
      </c>
      <c r="AA600" s="1528" t="s">
        <v>2129</v>
      </c>
      <c r="AB600" s="1528" t="s">
        <v>2129</v>
      </c>
      <c r="AC600" s="1528" t="s">
        <v>2129</v>
      </c>
      <c r="AD600" s="1528" t="s">
        <v>2129</v>
      </c>
      <c r="AE600" s="1528" t="s">
        <v>2129</v>
      </c>
      <c r="AF600" s="1528" t="s">
        <v>2129</v>
      </c>
      <c r="AG600" s="1528" t="s">
        <v>2129</v>
      </c>
    </row>
    <row r="601" spans="1:33" ht="76.5" hidden="1" thickBot="1">
      <c r="A601" s="1529"/>
      <c r="B601" s="1533"/>
      <c r="C601" s="1529"/>
      <c r="D601" s="1409" t="s">
        <v>2647</v>
      </c>
      <c r="E601" s="1529"/>
      <c r="F601" s="1529"/>
      <c r="G601" s="1529"/>
      <c r="H601" s="1529"/>
      <c r="I601" s="1529"/>
      <c r="J601" s="1529"/>
      <c r="K601" s="1529"/>
      <c r="L601" s="1529"/>
      <c r="M601" s="1529"/>
      <c r="N601" s="1529"/>
      <c r="O601" s="1529"/>
      <c r="P601" s="1529"/>
      <c r="Q601" s="1529"/>
      <c r="R601" s="1529"/>
      <c r="S601" s="1529"/>
      <c r="T601" s="1529"/>
      <c r="U601" s="1529"/>
      <c r="V601" s="1529"/>
      <c r="W601" s="1529"/>
      <c r="X601" s="1529"/>
      <c r="Y601" s="1529"/>
      <c r="Z601" s="1529"/>
      <c r="AA601" s="1529"/>
      <c r="AB601" s="1529"/>
      <c r="AC601" s="1529"/>
      <c r="AD601" s="1529"/>
      <c r="AE601" s="1529"/>
      <c r="AF601" s="1529"/>
      <c r="AG601" s="1529"/>
    </row>
    <row r="602" spans="1:33" ht="23.25" hidden="1" customHeight="1" thickBot="1">
      <c r="A602" s="1528">
        <v>72</v>
      </c>
      <c r="B602" s="1531">
        <v>1.7224300000000002E+35</v>
      </c>
      <c r="C602" s="1528" t="s">
        <v>2648</v>
      </c>
      <c r="D602" s="1528" t="s">
        <v>2649</v>
      </c>
      <c r="E602" s="1528">
        <v>5525</v>
      </c>
      <c r="F602" s="1528"/>
      <c r="G602" s="1528">
        <v>5525</v>
      </c>
      <c r="H602" s="1528">
        <v>5525</v>
      </c>
      <c r="I602" s="1528">
        <v>0</v>
      </c>
      <c r="J602" s="1528">
        <v>0</v>
      </c>
      <c r="K602" s="1528">
        <v>0</v>
      </c>
      <c r="L602" s="1528" t="s">
        <v>2129</v>
      </c>
      <c r="M602" s="1528" t="s">
        <v>2129</v>
      </c>
      <c r="N602" s="1528" t="s">
        <v>2129</v>
      </c>
      <c r="O602" s="1528" t="s">
        <v>2129</v>
      </c>
      <c r="P602" s="1528" t="s">
        <v>2129</v>
      </c>
      <c r="Q602" s="1528" t="s">
        <v>2129</v>
      </c>
      <c r="R602" s="1528" t="s">
        <v>2129</v>
      </c>
      <c r="S602" s="1410" t="s">
        <v>2169</v>
      </c>
      <c r="T602" s="1528">
        <v>55.25</v>
      </c>
      <c r="U602" s="1528">
        <v>1023.23</v>
      </c>
      <c r="V602" s="1528">
        <v>5.2016999999999998</v>
      </c>
      <c r="W602" s="1528">
        <v>12.201700000000001</v>
      </c>
      <c r="X602" s="1528" t="s">
        <v>2281</v>
      </c>
      <c r="Y602" s="1528" t="s">
        <v>2282</v>
      </c>
      <c r="Z602" s="1528" t="s">
        <v>2132</v>
      </c>
      <c r="AA602" s="1528"/>
      <c r="AB602" s="1528"/>
      <c r="AC602" s="1528"/>
      <c r="AD602" s="1528" t="s">
        <v>2609</v>
      </c>
      <c r="AE602" s="1410" t="s">
        <v>2134</v>
      </c>
      <c r="AF602" s="1528"/>
      <c r="AG602" s="1528" t="s">
        <v>2283</v>
      </c>
    </row>
    <row r="603" spans="1:33" ht="93" hidden="1" thickBot="1">
      <c r="A603" s="1530"/>
      <c r="B603" s="1532"/>
      <c r="C603" s="1530"/>
      <c r="D603" s="1529"/>
      <c r="E603" s="1529"/>
      <c r="F603" s="1529"/>
      <c r="G603" s="1529"/>
      <c r="H603" s="1529"/>
      <c r="I603" s="1529"/>
      <c r="J603" s="1529"/>
      <c r="K603" s="1529"/>
      <c r="L603" s="1529"/>
      <c r="M603" s="1529"/>
      <c r="N603" s="1529"/>
      <c r="O603" s="1529"/>
      <c r="P603" s="1529"/>
      <c r="Q603" s="1529"/>
      <c r="R603" s="1529"/>
      <c r="S603" s="1409" t="s">
        <v>2189</v>
      </c>
      <c r="T603" s="1529"/>
      <c r="U603" s="1529"/>
      <c r="V603" s="1529"/>
      <c r="W603" s="1529"/>
      <c r="X603" s="1529"/>
      <c r="Y603" s="1529"/>
      <c r="Z603" s="1529"/>
      <c r="AA603" s="1529"/>
      <c r="AB603" s="1529"/>
      <c r="AC603" s="1529"/>
      <c r="AD603" s="1529"/>
      <c r="AE603" s="1409" t="s">
        <v>2136</v>
      </c>
      <c r="AF603" s="1529"/>
      <c r="AG603" s="1529"/>
    </row>
    <row r="604" spans="1:33" ht="15.75" hidden="1" thickBot="1">
      <c r="A604" s="1530"/>
      <c r="B604" s="1532"/>
      <c r="C604" s="1530"/>
      <c r="D604" s="1410" t="s">
        <v>2650</v>
      </c>
      <c r="E604" s="1528" t="s">
        <v>2129</v>
      </c>
      <c r="F604" s="1528" t="s">
        <v>2129</v>
      </c>
      <c r="G604" s="1528" t="s">
        <v>2129</v>
      </c>
      <c r="H604" s="1528" t="s">
        <v>2129</v>
      </c>
      <c r="I604" s="1528" t="s">
        <v>2129</v>
      </c>
      <c r="J604" s="1528" t="s">
        <v>2129</v>
      </c>
      <c r="K604" s="1528" t="s">
        <v>2129</v>
      </c>
      <c r="L604" s="1528" t="s">
        <v>2286</v>
      </c>
      <c r="M604" s="1528">
        <v>166</v>
      </c>
      <c r="N604" s="1528">
        <v>25</v>
      </c>
      <c r="O604" s="1528">
        <v>25</v>
      </c>
      <c r="P604" s="1528"/>
      <c r="Q604" s="1528"/>
      <c r="R604" s="1528"/>
      <c r="S604" s="1528" t="s">
        <v>2129</v>
      </c>
      <c r="T604" s="1528" t="s">
        <v>2129</v>
      </c>
      <c r="U604" s="1528" t="s">
        <v>2129</v>
      </c>
      <c r="V604" s="1528" t="s">
        <v>2129</v>
      </c>
      <c r="W604" s="1528" t="s">
        <v>2129</v>
      </c>
      <c r="X604" s="1528" t="s">
        <v>2129</v>
      </c>
      <c r="Y604" s="1528" t="s">
        <v>2129</v>
      </c>
      <c r="Z604" s="1528" t="s">
        <v>2129</v>
      </c>
      <c r="AA604" s="1528" t="s">
        <v>2129</v>
      </c>
      <c r="AB604" s="1528" t="s">
        <v>2129</v>
      </c>
      <c r="AC604" s="1528" t="s">
        <v>2129</v>
      </c>
      <c r="AD604" s="1528" t="s">
        <v>2129</v>
      </c>
      <c r="AE604" s="1528" t="s">
        <v>2129</v>
      </c>
      <c r="AF604" s="1528" t="s">
        <v>2129</v>
      </c>
      <c r="AG604" s="1528" t="s">
        <v>2129</v>
      </c>
    </row>
    <row r="605" spans="1:33" ht="208.5" hidden="1" thickBot="1">
      <c r="A605" s="1530"/>
      <c r="B605" s="1532"/>
      <c r="C605" s="1530"/>
      <c r="D605" s="1409" t="s">
        <v>2651</v>
      </c>
      <c r="E605" s="1529"/>
      <c r="F605" s="1529"/>
      <c r="G605" s="1529"/>
      <c r="H605" s="1529"/>
      <c r="I605" s="1529"/>
      <c r="J605" s="1529"/>
      <c r="K605" s="1529"/>
      <c r="L605" s="1529"/>
      <c r="M605" s="1529"/>
      <c r="N605" s="1529"/>
      <c r="O605" s="1529"/>
      <c r="P605" s="1529"/>
      <c r="Q605" s="1529"/>
      <c r="R605" s="1529"/>
      <c r="S605" s="1529"/>
      <c r="T605" s="1529"/>
      <c r="U605" s="1529"/>
      <c r="V605" s="1529"/>
      <c r="W605" s="1529"/>
      <c r="X605" s="1529"/>
      <c r="Y605" s="1529"/>
      <c r="Z605" s="1529"/>
      <c r="AA605" s="1529"/>
      <c r="AB605" s="1529"/>
      <c r="AC605" s="1529"/>
      <c r="AD605" s="1529"/>
      <c r="AE605" s="1529"/>
      <c r="AF605" s="1529"/>
      <c r="AG605" s="1529"/>
    </row>
    <row r="606" spans="1:33" ht="35.25" hidden="1" thickBot="1">
      <c r="A606" s="1530"/>
      <c r="B606" s="1532"/>
      <c r="C606" s="1530"/>
      <c r="D606" s="1410" t="s">
        <v>2652</v>
      </c>
      <c r="E606" s="1528" t="s">
        <v>2129</v>
      </c>
      <c r="F606" s="1528" t="s">
        <v>2129</v>
      </c>
      <c r="G606" s="1528" t="s">
        <v>2129</v>
      </c>
      <c r="H606" s="1528" t="s">
        <v>2129</v>
      </c>
      <c r="I606" s="1528" t="s">
        <v>2129</v>
      </c>
      <c r="J606" s="1528" t="s">
        <v>2129</v>
      </c>
      <c r="K606" s="1528" t="s">
        <v>2129</v>
      </c>
      <c r="L606" s="1528" t="s">
        <v>2286</v>
      </c>
      <c r="M606" s="1528">
        <v>166</v>
      </c>
      <c r="N606" s="1528">
        <v>25</v>
      </c>
      <c r="O606" s="1528">
        <v>25</v>
      </c>
      <c r="P606" s="1528"/>
      <c r="Q606" s="1528"/>
      <c r="R606" s="1528"/>
      <c r="S606" s="1528" t="s">
        <v>2129</v>
      </c>
      <c r="T606" s="1528" t="s">
        <v>2129</v>
      </c>
      <c r="U606" s="1528" t="s">
        <v>2129</v>
      </c>
      <c r="V606" s="1528" t="s">
        <v>2129</v>
      </c>
      <c r="W606" s="1528" t="s">
        <v>2129</v>
      </c>
      <c r="X606" s="1528" t="s">
        <v>2129</v>
      </c>
      <c r="Y606" s="1528" t="s">
        <v>2129</v>
      </c>
      <c r="Z606" s="1528" t="s">
        <v>2129</v>
      </c>
      <c r="AA606" s="1528" t="s">
        <v>2129</v>
      </c>
      <c r="AB606" s="1528" t="s">
        <v>2129</v>
      </c>
      <c r="AC606" s="1528" t="s">
        <v>2129</v>
      </c>
      <c r="AD606" s="1528" t="s">
        <v>2129</v>
      </c>
      <c r="AE606" s="1528" t="s">
        <v>2129</v>
      </c>
      <c r="AF606" s="1528" t="s">
        <v>2129</v>
      </c>
      <c r="AG606" s="1528" t="s">
        <v>2129</v>
      </c>
    </row>
    <row r="607" spans="1:33" ht="266.25" hidden="1" thickBot="1">
      <c r="A607" s="1530"/>
      <c r="B607" s="1532"/>
      <c r="C607" s="1530"/>
      <c r="D607" s="1409" t="s">
        <v>2653</v>
      </c>
      <c r="E607" s="1529"/>
      <c r="F607" s="1529"/>
      <c r="G607" s="1529"/>
      <c r="H607" s="1529"/>
      <c r="I607" s="1529"/>
      <c r="J607" s="1529"/>
      <c r="K607" s="1529"/>
      <c r="L607" s="1529"/>
      <c r="M607" s="1529"/>
      <c r="N607" s="1529"/>
      <c r="O607" s="1529"/>
      <c r="P607" s="1529"/>
      <c r="Q607" s="1529"/>
      <c r="R607" s="1529"/>
      <c r="S607" s="1529"/>
      <c r="T607" s="1529"/>
      <c r="U607" s="1529"/>
      <c r="V607" s="1529"/>
      <c r="W607" s="1529"/>
      <c r="X607" s="1529"/>
      <c r="Y607" s="1529"/>
      <c r="Z607" s="1529"/>
      <c r="AA607" s="1529"/>
      <c r="AB607" s="1529"/>
      <c r="AC607" s="1529"/>
      <c r="AD607" s="1529"/>
      <c r="AE607" s="1529"/>
      <c r="AF607" s="1529"/>
      <c r="AG607" s="1529"/>
    </row>
    <row r="608" spans="1:33" ht="35.25" hidden="1" thickBot="1">
      <c r="A608" s="1530"/>
      <c r="B608" s="1532"/>
      <c r="C608" s="1530"/>
      <c r="D608" s="1410" t="s">
        <v>2654</v>
      </c>
      <c r="E608" s="1528" t="s">
        <v>2129</v>
      </c>
      <c r="F608" s="1528" t="s">
        <v>2129</v>
      </c>
      <c r="G608" s="1528" t="s">
        <v>2129</v>
      </c>
      <c r="H608" s="1528" t="s">
        <v>2129</v>
      </c>
      <c r="I608" s="1528" t="s">
        <v>2129</v>
      </c>
      <c r="J608" s="1528" t="s">
        <v>2129</v>
      </c>
      <c r="K608" s="1528" t="s">
        <v>2129</v>
      </c>
      <c r="L608" s="1528" t="s">
        <v>2286</v>
      </c>
      <c r="M608" s="1528">
        <v>166</v>
      </c>
      <c r="N608" s="1528">
        <v>25</v>
      </c>
      <c r="O608" s="1528">
        <v>25</v>
      </c>
      <c r="P608" s="1528"/>
      <c r="Q608" s="1528"/>
      <c r="R608" s="1528"/>
      <c r="S608" s="1528" t="s">
        <v>2129</v>
      </c>
      <c r="T608" s="1528" t="s">
        <v>2129</v>
      </c>
      <c r="U608" s="1528" t="s">
        <v>2129</v>
      </c>
      <c r="V608" s="1528" t="s">
        <v>2129</v>
      </c>
      <c r="W608" s="1528" t="s">
        <v>2129</v>
      </c>
      <c r="X608" s="1528" t="s">
        <v>2129</v>
      </c>
      <c r="Y608" s="1528" t="s">
        <v>2129</v>
      </c>
      <c r="Z608" s="1528" t="s">
        <v>2129</v>
      </c>
      <c r="AA608" s="1528" t="s">
        <v>2129</v>
      </c>
      <c r="AB608" s="1528" t="s">
        <v>2129</v>
      </c>
      <c r="AC608" s="1528" t="s">
        <v>2129</v>
      </c>
      <c r="AD608" s="1528" t="s">
        <v>2129</v>
      </c>
      <c r="AE608" s="1528" t="s">
        <v>2129</v>
      </c>
      <c r="AF608" s="1528" t="s">
        <v>2129</v>
      </c>
      <c r="AG608" s="1528" t="s">
        <v>2129</v>
      </c>
    </row>
    <row r="609" spans="1:33" ht="109.5" hidden="1" thickBot="1">
      <c r="A609" s="1529"/>
      <c r="B609" s="1533"/>
      <c r="C609" s="1529"/>
      <c r="D609" s="1409" t="s">
        <v>2655</v>
      </c>
      <c r="E609" s="1529"/>
      <c r="F609" s="1529"/>
      <c r="G609" s="1529"/>
      <c r="H609" s="1529"/>
      <c r="I609" s="1529"/>
      <c r="J609" s="1529"/>
      <c r="K609" s="1529"/>
      <c r="L609" s="1529"/>
      <c r="M609" s="1529"/>
      <c r="N609" s="1529"/>
      <c r="O609" s="1529"/>
      <c r="P609" s="1529"/>
      <c r="Q609" s="1529"/>
      <c r="R609" s="1529"/>
      <c r="S609" s="1529"/>
      <c r="T609" s="1529"/>
      <c r="U609" s="1529"/>
      <c r="V609" s="1529"/>
      <c r="W609" s="1529"/>
      <c r="X609" s="1529"/>
      <c r="Y609" s="1529"/>
      <c r="Z609" s="1529"/>
      <c r="AA609" s="1529"/>
      <c r="AB609" s="1529"/>
      <c r="AC609" s="1529"/>
      <c r="AD609" s="1529"/>
      <c r="AE609" s="1529"/>
      <c r="AF609" s="1529"/>
      <c r="AG609" s="1529"/>
    </row>
    <row r="610" spans="1:33" ht="23.25" hidden="1" customHeight="1" thickBot="1">
      <c r="A610" s="1528">
        <v>73</v>
      </c>
      <c r="B610" s="1531">
        <v>1.7224300000000002E+35</v>
      </c>
      <c r="C610" s="1528" t="s">
        <v>2656</v>
      </c>
      <c r="D610" s="1528" t="s">
        <v>2657</v>
      </c>
      <c r="E610" s="1528">
        <v>101802.2</v>
      </c>
      <c r="F610" s="1528"/>
      <c r="G610" s="1528">
        <v>101802.2</v>
      </c>
      <c r="H610" s="1528">
        <v>101802.2</v>
      </c>
      <c r="I610" s="1528">
        <v>0</v>
      </c>
      <c r="J610" s="1528">
        <v>0</v>
      </c>
      <c r="K610" s="1528">
        <v>0</v>
      </c>
      <c r="L610" s="1528" t="s">
        <v>2129</v>
      </c>
      <c r="M610" s="1528" t="s">
        <v>2129</v>
      </c>
      <c r="N610" s="1528" t="s">
        <v>2129</v>
      </c>
      <c r="O610" s="1528" t="s">
        <v>2129</v>
      </c>
      <c r="P610" s="1528" t="s">
        <v>2129</v>
      </c>
      <c r="Q610" s="1528" t="s">
        <v>2129</v>
      </c>
      <c r="R610" s="1528" t="s">
        <v>2129</v>
      </c>
      <c r="S610" s="1410" t="s">
        <v>2149</v>
      </c>
      <c r="T610" s="1528">
        <v>1018.02</v>
      </c>
      <c r="U610" s="1528">
        <v>7604.62</v>
      </c>
      <c r="V610" s="1528">
        <v>5.2016999999999998</v>
      </c>
      <c r="W610" s="1528">
        <v>12.201700000000001</v>
      </c>
      <c r="X610" s="1528" t="s">
        <v>2281</v>
      </c>
      <c r="Y610" s="1528" t="s">
        <v>2132</v>
      </c>
      <c r="Z610" s="1528" t="s">
        <v>2282</v>
      </c>
      <c r="AA610" s="1528" t="s">
        <v>2346</v>
      </c>
      <c r="AB610" s="1528"/>
      <c r="AC610" s="1528"/>
      <c r="AD610" s="1528" t="s">
        <v>2609</v>
      </c>
      <c r="AE610" s="1410" t="s">
        <v>2134</v>
      </c>
      <c r="AF610" s="1528"/>
      <c r="AG610" s="1528" t="s">
        <v>2283</v>
      </c>
    </row>
    <row r="611" spans="1:33" ht="84.75" hidden="1" thickBot="1">
      <c r="A611" s="1530"/>
      <c r="B611" s="1532"/>
      <c r="C611" s="1530"/>
      <c r="D611" s="1530"/>
      <c r="E611" s="1530"/>
      <c r="F611" s="1530"/>
      <c r="G611" s="1530"/>
      <c r="H611" s="1530"/>
      <c r="I611" s="1530"/>
      <c r="J611" s="1530"/>
      <c r="K611" s="1530"/>
      <c r="L611" s="1530"/>
      <c r="M611" s="1530"/>
      <c r="N611" s="1530"/>
      <c r="O611" s="1530"/>
      <c r="P611" s="1530"/>
      <c r="Q611" s="1530"/>
      <c r="R611" s="1530"/>
      <c r="S611" s="1410" t="s">
        <v>2325</v>
      </c>
      <c r="T611" s="1530"/>
      <c r="U611" s="1530"/>
      <c r="V611" s="1530"/>
      <c r="W611" s="1530"/>
      <c r="X611" s="1530"/>
      <c r="Y611" s="1530"/>
      <c r="Z611" s="1530"/>
      <c r="AA611" s="1530"/>
      <c r="AB611" s="1530"/>
      <c r="AC611" s="1530"/>
      <c r="AD611" s="1530"/>
      <c r="AE611" s="1410" t="s">
        <v>2136</v>
      </c>
      <c r="AF611" s="1530"/>
      <c r="AG611" s="1530"/>
    </row>
    <row r="612" spans="1:33" ht="15.75" hidden="1" thickBot="1">
      <c r="A612" s="1530"/>
      <c r="B612" s="1532"/>
      <c r="C612" s="1530"/>
      <c r="D612" s="1529"/>
      <c r="E612" s="1529"/>
      <c r="F612" s="1529"/>
      <c r="G612" s="1529"/>
      <c r="H612" s="1529"/>
      <c r="I612" s="1529"/>
      <c r="J612" s="1529"/>
      <c r="K612" s="1529"/>
      <c r="L612" s="1529"/>
      <c r="M612" s="1529"/>
      <c r="N612" s="1529"/>
      <c r="O612" s="1529"/>
      <c r="P612" s="1529"/>
      <c r="Q612" s="1529"/>
      <c r="R612" s="1529"/>
      <c r="S612" s="1409"/>
      <c r="T612" s="1529"/>
      <c r="U612" s="1529"/>
      <c r="V612" s="1529"/>
      <c r="W612" s="1529"/>
      <c r="X612" s="1529"/>
      <c r="Y612" s="1529"/>
      <c r="Z612" s="1529"/>
      <c r="AA612" s="1529"/>
      <c r="AB612" s="1529"/>
      <c r="AC612" s="1529"/>
      <c r="AD612" s="1529"/>
      <c r="AE612" s="1409"/>
      <c r="AF612" s="1529"/>
      <c r="AG612" s="1529"/>
    </row>
    <row r="613" spans="1:33" ht="18.75" hidden="1" thickBot="1">
      <c r="A613" s="1530"/>
      <c r="B613" s="1532"/>
      <c r="C613" s="1530"/>
      <c r="D613" s="1410" t="s">
        <v>2658</v>
      </c>
      <c r="E613" s="1528" t="s">
        <v>2129</v>
      </c>
      <c r="F613" s="1528" t="s">
        <v>2129</v>
      </c>
      <c r="G613" s="1528" t="s">
        <v>2129</v>
      </c>
      <c r="H613" s="1528" t="s">
        <v>2129</v>
      </c>
      <c r="I613" s="1528" t="s">
        <v>2129</v>
      </c>
      <c r="J613" s="1528" t="s">
        <v>2129</v>
      </c>
      <c r="K613" s="1528" t="s">
        <v>2129</v>
      </c>
      <c r="L613" s="1528" t="s">
        <v>2286</v>
      </c>
      <c r="M613" s="1528">
        <v>166</v>
      </c>
      <c r="N613" s="1528">
        <v>180</v>
      </c>
      <c r="O613" s="1528">
        <v>180</v>
      </c>
      <c r="P613" s="1528"/>
      <c r="Q613" s="1528"/>
      <c r="R613" s="1528"/>
      <c r="S613" s="1528" t="s">
        <v>2129</v>
      </c>
      <c r="T613" s="1528" t="s">
        <v>2129</v>
      </c>
      <c r="U613" s="1528" t="s">
        <v>2129</v>
      </c>
      <c r="V613" s="1528" t="s">
        <v>2129</v>
      </c>
      <c r="W613" s="1528" t="s">
        <v>2129</v>
      </c>
      <c r="X613" s="1528" t="s">
        <v>2129</v>
      </c>
      <c r="Y613" s="1528" t="s">
        <v>2129</v>
      </c>
      <c r="Z613" s="1528" t="s">
        <v>2129</v>
      </c>
      <c r="AA613" s="1528" t="s">
        <v>2129</v>
      </c>
      <c r="AB613" s="1528" t="s">
        <v>2129</v>
      </c>
      <c r="AC613" s="1528" t="s">
        <v>2129</v>
      </c>
      <c r="AD613" s="1528" t="s">
        <v>2129</v>
      </c>
      <c r="AE613" s="1528" t="s">
        <v>2129</v>
      </c>
      <c r="AF613" s="1528" t="s">
        <v>2129</v>
      </c>
      <c r="AG613" s="1528" t="s">
        <v>2129</v>
      </c>
    </row>
    <row r="614" spans="1:33" ht="101.25" hidden="1" thickBot="1">
      <c r="A614" s="1530"/>
      <c r="B614" s="1532"/>
      <c r="C614" s="1530"/>
      <c r="D614" s="1409" t="s">
        <v>2659</v>
      </c>
      <c r="E614" s="1529"/>
      <c r="F614" s="1529"/>
      <c r="G614" s="1529"/>
      <c r="H614" s="1529"/>
      <c r="I614" s="1529"/>
      <c r="J614" s="1529"/>
      <c r="K614" s="1529"/>
      <c r="L614" s="1529"/>
      <c r="M614" s="1529"/>
      <c r="N614" s="1529"/>
      <c r="O614" s="1529"/>
      <c r="P614" s="1529"/>
      <c r="Q614" s="1529"/>
      <c r="R614" s="1529"/>
      <c r="S614" s="1529"/>
      <c r="T614" s="1529"/>
      <c r="U614" s="1529"/>
      <c r="V614" s="1529"/>
      <c r="W614" s="1529"/>
      <c r="X614" s="1529"/>
      <c r="Y614" s="1529"/>
      <c r="Z614" s="1529"/>
      <c r="AA614" s="1529"/>
      <c r="AB614" s="1529"/>
      <c r="AC614" s="1529"/>
      <c r="AD614" s="1529"/>
      <c r="AE614" s="1529"/>
      <c r="AF614" s="1529"/>
      <c r="AG614" s="1529"/>
    </row>
    <row r="615" spans="1:33" ht="35.25" hidden="1" thickBot="1">
      <c r="A615" s="1530"/>
      <c r="B615" s="1532"/>
      <c r="C615" s="1530"/>
      <c r="D615" s="1410" t="s">
        <v>2660</v>
      </c>
      <c r="E615" s="1528" t="s">
        <v>2129</v>
      </c>
      <c r="F615" s="1528" t="s">
        <v>2129</v>
      </c>
      <c r="G615" s="1528" t="s">
        <v>2129</v>
      </c>
      <c r="H615" s="1528" t="s">
        <v>2129</v>
      </c>
      <c r="I615" s="1528" t="s">
        <v>2129</v>
      </c>
      <c r="J615" s="1528" t="s">
        <v>2129</v>
      </c>
      <c r="K615" s="1528" t="s">
        <v>2129</v>
      </c>
      <c r="L615" s="1528" t="s">
        <v>2286</v>
      </c>
      <c r="M615" s="1528">
        <v>166</v>
      </c>
      <c r="N615" s="1528">
        <v>220</v>
      </c>
      <c r="O615" s="1528">
        <v>220</v>
      </c>
      <c r="P615" s="1528"/>
      <c r="Q615" s="1528"/>
      <c r="R615" s="1528"/>
      <c r="S615" s="1528" t="s">
        <v>2129</v>
      </c>
      <c r="T615" s="1528" t="s">
        <v>2129</v>
      </c>
      <c r="U615" s="1528" t="s">
        <v>2129</v>
      </c>
      <c r="V615" s="1528" t="s">
        <v>2129</v>
      </c>
      <c r="W615" s="1528" t="s">
        <v>2129</v>
      </c>
      <c r="X615" s="1528" t="s">
        <v>2129</v>
      </c>
      <c r="Y615" s="1528" t="s">
        <v>2129</v>
      </c>
      <c r="Z615" s="1528" t="s">
        <v>2129</v>
      </c>
      <c r="AA615" s="1528" t="s">
        <v>2129</v>
      </c>
      <c r="AB615" s="1528" t="s">
        <v>2129</v>
      </c>
      <c r="AC615" s="1528" t="s">
        <v>2129</v>
      </c>
      <c r="AD615" s="1528" t="s">
        <v>2129</v>
      </c>
      <c r="AE615" s="1528" t="s">
        <v>2129</v>
      </c>
      <c r="AF615" s="1528" t="s">
        <v>2129</v>
      </c>
      <c r="AG615" s="1528" t="s">
        <v>2129</v>
      </c>
    </row>
    <row r="616" spans="1:33" ht="109.5" hidden="1" thickBot="1">
      <c r="A616" s="1529"/>
      <c r="B616" s="1533"/>
      <c r="C616" s="1529"/>
      <c r="D616" s="1409" t="s">
        <v>2661</v>
      </c>
      <c r="E616" s="1529"/>
      <c r="F616" s="1529"/>
      <c r="G616" s="1529"/>
      <c r="H616" s="1529"/>
      <c r="I616" s="1529"/>
      <c r="J616" s="1529"/>
      <c r="K616" s="1529"/>
      <c r="L616" s="1529"/>
      <c r="M616" s="1529"/>
      <c r="N616" s="1529"/>
      <c r="O616" s="1529"/>
      <c r="P616" s="1529"/>
      <c r="Q616" s="1529"/>
      <c r="R616" s="1529"/>
      <c r="S616" s="1529"/>
      <c r="T616" s="1529"/>
      <c r="U616" s="1529"/>
      <c r="V616" s="1529"/>
      <c r="W616" s="1529"/>
      <c r="X616" s="1529"/>
      <c r="Y616" s="1529"/>
      <c r="Z616" s="1529"/>
      <c r="AA616" s="1529"/>
      <c r="AB616" s="1529"/>
      <c r="AC616" s="1529"/>
      <c r="AD616" s="1529"/>
      <c r="AE616" s="1529"/>
      <c r="AF616" s="1529"/>
      <c r="AG616" s="1529"/>
    </row>
    <row r="617" spans="1:33" ht="23.25" hidden="1" customHeight="1" thickBot="1">
      <c r="A617" s="1528">
        <v>74</v>
      </c>
      <c r="B617" s="1531">
        <v>1.7224300000000002E+35</v>
      </c>
      <c r="C617" s="1528" t="s">
        <v>2662</v>
      </c>
      <c r="D617" s="1528" t="s">
        <v>2663</v>
      </c>
      <c r="E617" s="1528">
        <v>28770</v>
      </c>
      <c r="F617" s="1528"/>
      <c r="G617" s="1528">
        <v>28770</v>
      </c>
      <c r="H617" s="1528">
        <v>28770</v>
      </c>
      <c r="I617" s="1528">
        <v>0</v>
      </c>
      <c r="J617" s="1528">
        <v>0</v>
      </c>
      <c r="K617" s="1528">
        <v>0</v>
      </c>
      <c r="L617" s="1528" t="s">
        <v>2129</v>
      </c>
      <c r="M617" s="1528" t="s">
        <v>2129</v>
      </c>
      <c r="N617" s="1528" t="s">
        <v>2129</v>
      </c>
      <c r="O617" s="1528" t="s">
        <v>2129</v>
      </c>
      <c r="P617" s="1528" t="s">
        <v>2129</v>
      </c>
      <c r="Q617" s="1528" t="s">
        <v>2129</v>
      </c>
      <c r="R617" s="1528" t="s">
        <v>2129</v>
      </c>
      <c r="S617" s="1410" t="s">
        <v>2149</v>
      </c>
      <c r="T617" s="1528">
        <v>287.7</v>
      </c>
      <c r="U617" s="1528">
        <v>3924.23</v>
      </c>
      <c r="V617" s="1528">
        <v>5.2016999999999998</v>
      </c>
      <c r="W617" s="1528">
        <v>12.201700000000001</v>
      </c>
      <c r="X617" s="1528" t="s">
        <v>2281</v>
      </c>
      <c r="Y617" s="1528" t="s">
        <v>2132</v>
      </c>
      <c r="Z617" s="1528" t="s">
        <v>2282</v>
      </c>
      <c r="AA617" s="1528" t="s">
        <v>2346</v>
      </c>
      <c r="AB617" s="1528"/>
      <c r="AC617" s="1528"/>
      <c r="AD617" s="1528" t="s">
        <v>2664</v>
      </c>
      <c r="AE617" s="1410" t="s">
        <v>2134</v>
      </c>
      <c r="AF617" s="1528"/>
      <c r="AG617" s="1528" t="s">
        <v>2283</v>
      </c>
    </row>
    <row r="618" spans="1:33" ht="84.75" hidden="1" thickBot="1">
      <c r="A618" s="1530"/>
      <c r="B618" s="1532"/>
      <c r="C618" s="1530"/>
      <c r="D618" s="1530"/>
      <c r="E618" s="1530"/>
      <c r="F618" s="1530"/>
      <c r="G618" s="1530"/>
      <c r="H618" s="1530"/>
      <c r="I618" s="1530"/>
      <c r="J618" s="1530"/>
      <c r="K618" s="1530"/>
      <c r="L618" s="1530"/>
      <c r="M618" s="1530"/>
      <c r="N618" s="1530"/>
      <c r="O618" s="1530"/>
      <c r="P618" s="1530"/>
      <c r="Q618" s="1530"/>
      <c r="R618" s="1530"/>
      <c r="S618" s="1410" t="s">
        <v>2325</v>
      </c>
      <c r="T618" s="1530"/>
      <c r="U618" s="1530"/>
      <c r="V618" s="1530"/>
      <c r="W618" s="1530"/>
      <c r="X618" s="1530"/>
      <c r="Y618" s="1530"/>
      <c r="Z618" s="1530"/>
      <c r="AA618" s="1530"/>
      <c r="AB618" s="1530"/>
      <c r="AC618" s="1530"/>
      <c r="AD618" s="1530"/>
      <c r="AE618" s="1410" t="s">
        <v>2136</v>
      </c>
      <c r="AF618" s="1530"/>
      <c r="AG618" s="1530"/>
    </row>
    <row r="619" spans="1:33" ht="15.75" hidden="1" thickBot="1">
      <c r="A619" s="1530"/>
      <c r="B619" s="1532"/>
      <c r="C619" s="1530"/>
      <c r="D619" s="1529"/>
      <c r="E619" s="1529"/>
      <c r="F619" s="1529"/>
      <c r="G619" s="1529"/>
      <c r="H619" s="1529"/>
      <c r="I619" s="1529"/>
      <c r="J619" s="1529"/>
      <c r="K619" s="1529"/>
      <c r="L619" s="1529"/>
      <c r="M619" s="1529"/>
      <c r="N619" s="1529"/>
      <c r="O619" s="1529"/>
      <c r="P619" s="1529"/>
      <c r="Q619" s="1529"/>
      <c r="R619" s="1529"/>
      <c r="S619" s="1409"/>
      <c r="T619" s="1529"/>
      <c r="U619" s="1529"/>
      <c r="V619" s="1529"/>
      <c r="W619" s="1529"/>
      <c r="X619" s="1529"/>
      <c r="Y619" s="1529"/>
      <c r="Z619" s="1529"/>
      <c r="AA619" s="1529"/>
      <c r="AB619" s="1529"/>
      <c r="AC619" s="1529"/>
      <c r="AD619" s="1529"/>
      <c r="AE619" s="1409"/>
      <c r="AF619" s="1529"/>
      <c r="AG619" s="1529"/>
    </row>
    <row r="620" spans="1:33" ht="18.75" hidden="1" thickBot="1">
      <c r="A620" s="1529"/>
      <c r="B620" s="1533"/>
      <c r="C620" s="1529"/>
      <c r="D620" s="1409" t="s">
        <v>2665</v>
      </c>
      <c r="E620" s="1409" t="s">
        <v>2129</v>
      </c>
      <c r="F620" s="1409" t="s">
        <v>2129</v>
      </c>
      <c r="G620" s="1409" t="s">
        <v>2129</v>
      </c>
      <c r="H620" s="1409" t="s">
        <v>2129</v>
      </c>
      <c r="I620" s="1409" t="s">
        <v>2129</v>
      </c>
      <c r="J620" s="1409" t="s">
        <v>2129</v>
      </c>
      <c r="K620" s="1409" t="s">
        <v>2129</v>
      </c>
      <c r="L620" s="1409" t="s">
        <v>2286</v>
      </c>
      <c r="M620" s="1409">
        <v>166</v>
      </c>
      <c r="N620" s="1409">
        <v>250</v>
      </c>
      <c r="O620" s="1409">
        <v>250</v>
      </c>
      <c r="P620" s="1409"/>
      <c r="Q620" s="1409"/>
      <c r="R620" s="1409"/>
      <c r="S620" s="1409" t="s">
        <v>2129</v>
      </c>
      <c r="T620" s="1409" t="s">
        <v>2129</v>
      </c>
      <c r="U620" s="1409" t="s">
        <v>2129</v>
      </c>
      <c r="V620" s="1409" t="s">
        <v>2129</v>
      </c>
      <c r="W620" s="1409" t="s">
        <v>2129</v>
      </c>
      <c r="X620" s="1409" t="s">
        <v>2129</v>
      </c>
      <c r="Y620" s="1409" t="s">
        <v>2129</v>
      </c>
      <c r="Z620" s="1409" t="s">
        <v>2129</v>
      </c>
      <c r="AA620" s="1409" t="s">
        <v>2129</v>
      </c>
      <c r="AB620" s="1409" t="s">
        <v>2129</v>
      </c>
      <c r="AC620" s="1409" t="s">
        <v>2129</v>
      </c>
      <c r="AD620" s="1409" t="s">
        <v>2129</v>
      </c>
      <c r="AE620" s="1409" t="s">
        <v>2129</v>
      </c>
      <c r="AF620" s="1409" t="s">
        <v>2129</v>
      </c>
      <c r="AG620" s="1409" t="s">
        <v>2129</v>
      </c>
    </row>
    <row r="621" spans="1:33" ht="23.25" hidden="1" customHeight="1" thickBot="1">
      <c r="A621" s="1528">
        <v>75</v>
      </c>
      <c r="B621" s="1531">
        <v>1.7224300000000002E+35</v>
      </c>
      <c r="C621" s="1528" t="s">
        <v>2666</v>
      </c>
      <c r="D621" s="1528" t="s">
        <v>2667</v>
      </c>
      <c r="E621" s="1528">
        <v>30963.599999999999</v>
      </c>
      <c r="F621" s="1528"/>
      <c r="G621" s="1528">
        <v>30963.599999999999</v>
      </c>
      <c r="H621" s="1528">
        <v>30963.599999999999</v>
      </c>
      <c r="I621" s="1528">
        <v>0</v>
      </c>
      <c r="J621" s="1528">
        <v>0</v>
      </c>
      <c r="K621" s="1528">
        <v>0</v>
      </c>
      <c r="L621" s="1528" t="s">
        <v>2129</v>
      </c>
      <c r="M621" s="1528" t="s">
        <v>2129</v>
      </c>
      <c r="N621" s="1528" t="s">
        <v>2129</v>
      </c>
      <c r="O621" s="1528" t="s">
        <v>2129</v>
      </c>
      <c r="P621" s="1528" t="s">
        <v>2129</v>
      </c>
      <c r="Q621" s="1528" t="s">
        <v>2129</v>
      </c>
      <c r="R621" s="1528" t="s">
        <v>2129</v>
      </c>
      <c r="S621" s="1410" t="s">
        <v>2169</v>
      </c>
      <c r="T621" s="1528">
        <v>309.64</v>
      </c>
      <c r="U621" s="1528">
        <v>3848.78</v>
      </c>
      <c r="V621" s="1528">
        <v>5.2016999999999998</v>
      </c>
      <c r="W621" s="1528">
        <v>12.201700000000001</v>
      </c>
      <c r="X621" s="1528" t="s">
        <v>2281</v>
      </c>
      <c r="Y621" s="1528" t="s">
        <v>2282</v>
      </c>
      <c r="Z621" s="1528" t="s">
        <v>2132</v>
      </c>
      <c r="AA621" s="1528"/>
      <c r="AB621" s="1528"/>
      <c r="AC621" s="1528"/>
      <c r="AD621" s="1528" t="s">
        <v>2668</v>
      </c>
      <c r="AE621" s="1410" t="s">
        <v>2134</v>
      </c>
      <c r="AF621" s="1528"/>
      <c r="AG621" s="1528" t="s">
        <v>2283</v>
      </c>
    </row>
    <row r="622" spans="1:33" ht="84.75" hidden="1" thickBot="1">
      <c r="A622" s="1530"/>
      <c r="B622" s="1532"/>
      <c r="C622" s="1530"/>
      <c r="D622" s="1529"/>
      <c r="E622" s="1529"/>
      <c r="F622" s="1529"/>
      <c r="G622" s="1529"/>
      <c r="H622" s="1529"/>
      <c r="I622" s="1529"/>
      <c r="J622" s="1529"/>
      <c r="K622" s="1529"/>
      <c r="L622" s="1529"/>
      <c r="M622" s="1529"/>
      <c r="N622" s="1529"/>
      <c r="O622" s="1529"/>
      <c r="P622" s="1529"/>
      <c r="Q622" s="1529"/>
      <c r="R622" s="1529"/>
      <c r="S622" s="1409" t="s">
        <v>2325</v>
      </c>
      <c r="T622" s="1529"/>
      <c r="U622" s="1529"/>
      <c r="V622" s="1529"/>
      <c r="W622" s="1529"/>
      <c r="X622" s="1529"/>
      <c r="Y622" s="1529"/>
      <c r="Z622" s="1529"/>
      <c r="AA622" s="1529"/>
      <c r="AB622" s="1529"/>
      <c r="AC622" s="1529"/>
      <c r="AD622" s="1529"/>
      <c r="AE622" s="1409" t="s">
        <v>2136</v>
      </c>
      <c r="AF622" s="1529"/>
      <c r="AG622" s="1529"/>
    </row>
    <row r="623" spans="1:33" ht="15.75" hidden="1" thickBot="1">
      <c r="A623" s="1530"/>
      <c r="B623" s="1532"/>
      <c r="C623" s="1530"/>
      <c r="D623" s="1410" t="s">
        <v>2669</v>
      </c>
      <c r="E623" s="1528" t="s">
        <v>2129</v>
      </c>
      <c r="F623" s="1528" t="s">
        <v>2129</v>
      </c>
      <c r="G623" s="1528" t="s">
        <v>2129</v>
      </c>
      <c r="H623" s="1528" t="s">
        <v>2129</v>
      </c>
      <c r="I623" s="1528" t="s">
        <v>2129</v>
      </c>
      <c r="J623" s="1528" t="s">
        <v>2129</v>
      </c>
      <c r="K623" s="1528" t="s">
        <v>2129</v>
      </c>
      <c r="L623" s="1528" t="s">
        <v>2166</v>
      </c>
      <c r="M623" s="1528">
        <v>796</v>
      </c>
      <c r="N623" s="1528">
        <v>1080</v>
      </c>
      <c r="O623" s="1528">
        <v>1080</v>
      </c>
      <c r="P623" s="1528"/>
      <c r="Q623" s="1528"/>
      <c r="R623" s="1528"/>
      <c r="S623" s="1528" t="s">
        <v>2129</v>
      </c>
      <c r="T623" s="1528" t="s">
        <v>2129</v>
      </c>
      <c r="U623" s="1528" t="s">
        <v>2129</v>
      </c>
      <c r="V623" s="1528" t="s">
        <v>2129</v>
      </c>
      <c r="W623" s="1528" t="s">
        <v>2129</v>
      </c>
      <c r="X623" s="1528" t="s">
        <v>2129</v>
      </c>
      <c r="Y623" s="1528" t="s">
        <v>2129</v>
      </c>
      <c r="Z623" s="1528" t="s">
        <v>2129</v>
      </c>
      <c r="AA623" s="1528" t="s">
        <v>2129</v>
      </c>
      <c r="AB623" s="1528" t="s">
        <v>2129</v>
      </c>
      <c r="AC623" s="1528" t="s">
        <v>2129</v>
      </c>
      <c r="AD623" s="1528" t="s">
        <v>2129</v>
      </c>
      <c r="AE623" s="1528" t="s">
        <v>2129</v>
      </c>
      <c r="AF623" s="1528" t="s">
        <v>2129</v>
      </c>
      <c r="AG623" s="1528" t="s">
        <v>2129</v>
      </c>
    </row>
    <row r="624" spans="1:33" ht="84.75" hidden="1" thickBot="1">
      <c r="A624" s="1530"/>
      <c r="B624" s="1532"/>
      <c r="C624" s="1530"/>
      <c r="D624" s="1409" t="s">
        <v>2670</v>
      </c>
      <c r="E624" s="1529"/>
      <c r="F624" s="1529"/>
      <c r="G624" s="1529"/>
      <c r="H624" s="1529"/>
      <c r="I624" s="1529"/>
      <c r="J624" s="1529"/>
      <c r="K624" s="1529"/>
      <c r="L624" s="1529"/>
      <c r="M624" s="1529"/>
      <c r="N624" s="1529"/>
      <c r="O624" s="1529"/>
      <c r="P624" s="1529"/>
      <c r="Q624" s="1529"/>
      <c r="R624" s="1529"/>
      <c r="S624" s="1529"/>
      <c r="T624" s="1529"/>
      <c r="U624" s="1529"/>
      <c r="V624" s="1529"/>
      <c r="W624" s="1529"/>
      <c r="X624" s="1529"/>
      <c r="Y624" s="1529"/>
      <c r="Z624" s="1529"/>
      <c r="AA624" s="1529"/>
      <c r="AB624" s="1529"/>
      <c r="AC624" s="1529"/>
      <c r="AD624" s="1529"/>
      <c r="AE624" s="1529"/>
      <c r="AF624" s="1529"/>
      <c r="AG624" s="1529"/>
    </row>
    <row r="625" spans="1:33" ht="15.75" hidden="1" thickBot="1">
      <c r="A625" s="1530"/>
      <c r="B625" s="1532"/>
      <c r="C625" s="1530"/>
      <c r="D625" s="1410" t="s">
        <v>2398</v>
      </c>
      <c r="E625" s="1528" t="s">
        <v>2129</v>
      </c>
      <c r="F625" s="1528" t="s">
        <v>2129</v>
      </c>
      <c r="G625" s="1528" t="s">
        <v>2129</v>
      </c>
      <c r="H625" s="1528" t="s">
        <v>2129</v>
      </c>
      <c r="I625" s="1528" t="s">
        <v>2129</v>
      </c>
      <c r="J625" s="1528" t="s">
        <v>2129</v>
      </c>
      <c r="K625" s="1528" t="s">
        <v>2129</v>
      </c>
      <c r="L625" s="1528" t="s">
        <v>2166</v>
      </c>
      <c r="M625" s="1528">
        <v>796</v>
      </c>
      <c r="N625" s="1528">
        <v>1080</v>
      </c>
      <c r="O625" s="1528">
        <v>1080</v>
      </c>
      <c r="P625" s="1528"/>
      <c r="Q625" s="1528"/>
      <c r="R625" s="1528"/>
      <c r="S625" s="1528" t="s">
        <v>2129</v>
      </c>
      <c r="T625" s="1528" t="s">
        <v>2129</v>
      </c>
      <c r="U625" s="1528" t="s">
        <v>2129</v>
      </c>
      <c r="V625" s="1528" t="s">
        <v>2129</v>
      </c>
      <c r="W625" s="1528" t="s">
        <v>2129</v>
      </c>
      <c r="X625" s="1528" t="s">
        <v>2129</v>
      </c>
      <c r="Y625" s="1528" t="s">
        <v>2129</v>
      </c>
      <c r="Z625" s="1528" t="s">
        <v>2129</v>
      </c>
      <c r="AA625" s="1528" t="s">
        <v>2129</v>
      </c>
      <c r="AB625" s="1528" t="s">
        <v>2129</v>
      </c>
      <c r="AC625" s="1528" t="s">
        <v>2129</v>
      </c>
      <c r="AD625" s="1528" t="s">
        <v>2129</v>
      </c>
      <c r="AE625" s="1528" t="s">
        <v>2129</v>
      </c>
      <c r="AF625" s="1528" t="s">
        <v>2129</v>
      </c>
      <c r="AG625" s="1528" t="s">
        <v>2129</v>
      </c>
    </row>
    <row r="626" spans="1:33" ht="84.75" hidden="1" thickBot="1">
      <c r="A626" s="1530"/>
      <c r="B626" s="1532"/>
      <c r="C626" s="1530"/>
      <c r="D626" s="1409" t="s">
        <v>2670</v>
      </c>
      <c r="E626" s="1529"/>
      <c r="F626" s="1529"/>
      <c r="G626" s="1529"/>
      <c r="H626" s="1529"/>
      <c r="I626" s="1529"/>
      <c r="J626" s="1529"/>
      <c r="K626" s="1529"/>
      <c r="L626" s="1529"/>
      <c r="M626" s="1529"/>
      <c r="N626" s="1529"/>
      <c r="O626" s="1529"/>
      <c r="P626" s="1529"/>
      <c r="Q626" s="1529"/>
      <c r="R626" s="1529"/>
      <c r="S626" s="1529"/>
      <c r="T626" s="1529"/>
      <c r="U626" s="1529"/>
      <c r="V626" s="1529"/>
      <c r="W626" s="1529"/>
      <c r="X626" s="1529"/>
      <c r="Y626" s="1529"/>
      <c r="Z626" s="1529"/>
      <c r="AA626" s="1529"/>
      <c r="AB626" s="1529"/>
      <c r="AC626" s="1529"/>
      <c r="AD626" s="1529"/>
      <c r="AE626" s="1529"/>
      <c r="AF626" s="1529"/>
      <c r="AG626" s="1529"/>
    </row>
    <row r="627" spans="1:33" ht="15.75" hidden="1" thickBot="1">
      <c r="A627" s="1530"/>
      <c r="B627" s="1532"/>
      <c r="C627" s="1530"/>
      <c r="D627" s="1410" t="s">
        <v>2671</v>
      </c>
      <c r="E627" s="1528" t="s">
        <v>2129</v>
      </c>
      <c r="F627" s="1528" t="s">
        <v>2129</v>
      </c>
      <c r="G627" s="1528" t="s">
        <v>2129</v>
      </c>
      <c r="H627" s="1528" t="s">
        <v>2129</v>
      </c>
      <c r="I627" s="1528" t="s">
        <v>2129</v>
      </c>
      <c r="J627" s="1528" t="s">
        <v>2129</v>
      </c>
      <c r="K627" s="1528" t="s">
        <v>2129</v>
      </c>
      <c r="L627" s="1528" t="s">
        <v>2166</v>
      </c>
      <c r="M627" s="1528">
        <v>796</v>
      </c>
      <c r="N627" s="1528">
        <v>1080</v>
      </c>
      <c r="O627" s="1528">
        <v>1080</v>
      </c>
      <c r="P627" s="1528"/>
      <c r="Q627" s="1528"/>
      <c r="R627" s="1528"/>
      <c r="S627" s="1528" t="s">
        <v>2129</v>
      </c>
      <c r="T627" s="1528" t="s">
        <v>2129</v>
      </c>
      <c r="U627" s="1528" t="s">
        <v>2129</v>
      </c>
      <c r="V627" s="1528" t="s">
        <v>2129</v>
      </c>
      <c r="W627" s="1528" t="s">
        <v>2129</v>
      </c>
      <c r="X627" s="1528" t="s">
        <v>2129</v>
      </c>
      <c r="Y627" s="1528" t="s">
        <v>2129</v>
      </c>
      <c r="Z627" s="1528" t="s">
        <v>2129</v>
      </c>
      <c r="AA627" s="1528" t="s">
        <v>2129</v>
      </c>
      <c r="AB627" s="1528" t="s">
        <v>2129</v>
      </c>
      <c r="AC627" s="1528" t="s">
        <v>2129</v>
      </c>
      <c r="AD627" s="1528" t="s">
        <v>2129</v>
      </c>
      <c r="AE627" s="1528" t="s">
        <v>2129</v>
      </c>
      <c r="AF627" s="1528" t="s">
        <v>2129</v>
      </c>
      <c r="AG627" s="1528" t="s">
        <v>2129</v>
      </c>
    </row>
    <row r="628" spans="1:33" ht="84.75" hidden="1" thickBot="1">
      <c r="A628" s="1529"/>
      <c r="B628" s="1533"/>
      <c r="C628" s="1529"/>
      <c r="D628" s="1409" t="s">
        <v>2670</v>
      </c>
      <c r="E628" s="1529"/>
      <c r="F628" s="1529"/>
      <c r="G628" s="1529"/>
      <c r="H628" s="1529"/>
      <c r="I628" s="1529"/>
      <c r="J628" s="1529"/>
      <c r="K628" s="1529"/>
      <c r="L628" s="1529"/>
      <c r="M628" s="1529"/>
      <c r="N628" s="1529"/>
      <c r="O628" s="1529"/>
      <c r="P628" s="1529"/>
      <c r="Q628" s="1529"/>
      <c r="R628" s="1529"/>
      <c r="S628" s="1529"/>
      <c r="T628" s="1529"/>
      <c r="U628" s="1529"/>
      <c r="V628" s="1529"/>
      <c r="W628" s="1529"/>
      <c r="X628" s="1529"/>
      <c r="Y628" s="1529"/>
      <c r="Z628" s="1529"/>
      <c r="AA628" s="1529"/>
      <c r="AB628" s="1529"/>
      <c r="AC628" s="1529"/>
      <c r="AD628" s="1529"/>
      <c r="AE628" s="1529"/>
      <c r="AF628" s="1529"/>
      <c r="AG628" s="1529"/>
    </row>
    <row r="629" spans="1:33" ht="23.25" hidden="1" customHeight="1" thickBot="1">
      <c r="A629" s="1528">
        <v>76</v>
      </c>
      <c r="B629" s="1531">
        <v>1.7224300000000002E+35</v>
      </c>
      <c r="C629" s="1528" t="s">
        <v>2672</v>
      </c>
      <c r="D629" s="1528" t="s">
        <v>2673</v>
      </c>
      <c r="E629" s="1528">
        <v>49201.14</v>
      </c>
      <c r="F629" s="1528"/>
      <c r="G629" s="1528">
        <v>49201.14</v>
      </c>
      <c r="H629" s="1528">
        <v>49201.14</v>
      </c>
      <c r="I629" s="1528">
        <v>0</v>
      </c>
      <c r="J629" s="1528">
        <v>0</v>
      </c>
      <c r="K629" s="1528">
        <v>0</v>
      </c>
      <c r="L629" s="1528" t="s">
        <v>2129</v>
      </c>
      <c r="M629" s="1528" t="s">
        <v>2129</v>
      </c>
      <c r="N629" s="1528" t="s">
        <v>2129</v>
      </c>
      <c r="O629" s="1528" t="s">
        <v>2129</v>
      </c>
      <c r="P629" s="1528" t="s">
        <v>2129</v>
      </c>
      <c r="Q629" s="1528" t="s">
        <v>2129</v>
      </c>
      <c r="R629" s="1528" t="s">
        <v>2129</v>
      </c>
      <c r="S629" s="1410" t="s">
        <v>2149</v>
      </c>
      <c r="T629" s="1528">
        <v>492.01</v>
      </c>
      <c r="U629" s="1528">
        <v>4683.95</v>
      </c>
      <c r="V629" s="1528">
        <v>5.2016999999999998</v>
      </c>
      <c r="W629" s="1528">
        <v>12.201700000000001</v>
      </c>
      <c r="X629" s="1528" t="s">
        <v>2281</v>
      </c>
      <c r="Y629" s="1528" t="s">
        <v>2132</v>
      </c>
      <c r="Z629" s="1528" t="s">
        <v>2282</v>
      </c>
      <c r="AA629" s="1528" t="s">
        <v>2346</v>
      </c>
      <c r="AB629" s="1528"/>
      <c r="AC629" s="1528"/>
      <c r="AD629" s="1528" t="s">
        <v>2609</v>
      </c>
      <c r="AE629" s="1410" t="s">
        <v>2134</v>
      </c>
      <c r="AF629" s="1528"/>
      <c r="AG629" s="1528" t="s">
        <v>2283</v>
      </c>
    </row>
    <row r="630" spans="1:33" ht="93" hidden="1" thickBot="1">
      <c r="A630" s="1530"/>
      <c r="B630" s="1532"/>
      <c r="C630" s="1530"/>
      <c r="D630" s="1530"/>
      <c r="E630" s="1530"/>
      <c r="F630" s="1530"/>
      <c r="G630" s="1530"/>
      <c r="H630" s="1530"/>
      <c r="I630" s="1530"/>
      <c r="J630" s="1530"/>
      <c r="K630" s="1530"/>
      <c r="L630" s="1530"/>
      <c r="M630" s="1530"/>
      <c r="N630" s="1530"/>
      <c r="O630" s="1530"/>
      <c r="P630" s="1530"/>
      <c r="Q630" s="1530"/>
      <c r="R630" s="1530"/>
      <c r="S630" s="1410" t="s">
        <v>2189</v>
      </c>
      <c r="T630" s="1530"/>
      <c r="U630" s="1530"/>
      <c r="V630" s="1530"/>
      <c r="W630" s="1530"/>
      <c r="X630" s="1530"/>
      <c r="Y630" s="1530"/>
      <c r="Z630" s="1530"/>
      <c r="AA630" s="1530"/>
      <c r="AB630" s="1530"/>
      <c r="AC630" s="1530"/>
      <c r="AD630" s="1530"/>
      <c r="AE630" s="1410" t="s">
        <v>2136</v>
      </c>
      <c r="AF630" s="1530"/>
      <c r="AG630" s="1530"/>
    </row>
    <row r="631" spans="1:33" ht="15.75" hidden="1" thickBot="1">
      <c r="A631" s="1530"/>
      <c r="B631" s="1532"/>
      <c r="C631" s="1530"/>
      <c r="D631" s="1529"/>
      <c r="E631" s="1529"/>
      <c r="F631" s="1529"/>
      <c r="G631" s="1529"/>
      <c r="H631" s="1529"/>
      <c r="I631" s="1529"/>
      <c r="J631" s="1529"/>
      <c r="K631" s="1529"/>
      <c r="L631" s="1529"/>
      <c r="M631" s="1529"/>
      <c r="N631" s="1529"/>
      <c r="O631" s="1529"/>
      <c r="P631" s="1529"/>
      <c r="Q631" s="1529"/>
      <c r="R631" s="1529"/>
      <c r="S631" s="1409"/>
      <c r="T631" s="1529"/>
      <c r="U631" s="1529"/>
      <c r="V631" s="1529"/>
      <c r="W631" s="1529"/>
      <c r="X631" s="1529"/>
      <c r="Y631" s="1529"/>
      <c r="Z631" s="1529"/>
      <c r="AA631" s="1529"/>
      <c r="AB631" s="1529"/>
      <c r="AC631" s="1529"/>
      <c r="AD631" s="1529"/>
      <c r="AE631" s="1409"/>
      <c r="AF631" s="1529"/>
      <c r="AG631" s="1529"/>
    </row>
    <row r="632" spans="1:33" ht="27" hidden="1" thickBot="1">
      <c r="A632" s="1530"/>
      <c r="B632" s="1532"/>
      <c r="C632" s="1530"/>
      <c r="D632" s="1410" t="s">
        <v>2369</v>
      </c>
      <c r="E632" s="1528" t="s">
        <v>2129</v>
      </c>
      <c r="F632" s="1528" t="s">
        <v>2129</v>
      </c>
      <c r="G632" s="1528" t="s">
        <v>2129</v>
      </c>
      <c r="H632" s="1528" t="s">
        <v>2129</v>
      </c>
      <c r="I632" s="1528" t="s">
        <v>2129</v>
      </c>
      <c r="J632" s="1528" t="s">
        <v>2129</v>
      </c>
      <c r="K632" s="1528" t="s">
        <v>2129</v>
      </c>
      <c r="L632" s="1528" t="s">
        <v>2286</v>
      </c>
      <c r="M632" s="1528">
        <v>166</v>
      </c>
      <c r="N632" s="1528">
        <v>132</v>
      </c>
      <c r="O632" s="1528">
        <v>132</v>
      </c>
      <c r="P632" s="1528"/>
      <c r="Q632" s="1528"/>
      <c r="R632" s="1528"/>
      <c r="S632" s="1528" t="s">
        <v>2129</v>
      </c>
      <c r="T632" s="1528" t="s">
        <v>2129</v>
      </c>
      <c r="U632" s="1528" t="s">
        <v>2129</v>
      </c>
      <c r="V632" s="1528" t="s">
        <v>2129</v>
      </c>
      <c r="W632" s="1528" t="s">
        <v>2129</v>
      </c>
      <c r="X632" s="1528" t="s">
        <v>2129</v>
      </c>
      <c r="Y632" s="1528" t="s">
        <v>2129</v>
      </c>
      <c r="Z632" s="1528" t="s">
        <v>2129</v>
      </c>
      <c r="AA632" s="1528" t="s">
        <v>2129</v>
      </c>
      <c r="AB632" s="1528" t="s">
        <v>2129</v>
      </c>
      <c r="AC632" s="1528" t="s">
        <v>2129</v>
      </c>
      <c r="AD632" s="1528" t="s">
        <v>2129</v>
      </c>
      <c r="AE632" s="1528" t="s">
        <v>2129</v>
      </c>
      <c r="AF632" s="1528" t="s">
        <v>2129</v>
      </c>
      <c r="AG632" s="1528" t="s">
        <v>2129</v>
      </c>
    </row>
    <row r="633" spans="1:33" ht="84.75" hidden="1" thickBot="1">
      <c r="A633" s="1530"/>
      <c r="B633" s="1532"/>
      <c r="C633" s="1530"/>
      <c r="D633" s="1409" t="s">
        <v>2674</v>
      </c>
      <c r="E633" s="1529"/>
      <c r="F633" s="1529"/>
      <c r="G633" s="1529"/>
      <c r="H633" s="1529"/>
      <c r="I633" s="1529"/>
      <c r="J633" s="1529"/>
      <c r="K633" s="1529"/>
      <c r="L633" s="1529"/>
      <c r="M633" s="1529"/>
      <c r="N633" s="1529"/>
      <c r="O633" s="1529"/>
      <c r="P633" s="1529"/>
      <c r="Q633" s="1529"/>
      <c r="R633" s="1529"/>
      <c r="S633" s="1529"/>
      <c r="T633" s="1529"/>
      <c r="U633" s="1529"/>
      <c r="V633" s="1529"/>
      <c r="W633" s="1529"/>
      <c r="X633" s="1529"/>
      <c r="Y633" s="1529"/>
      <c r="Z633" s="1529"/>
      <c r="AA633" s="1529"/>
      <c r="AB633" s="1529"/>
      <c r="AC633" s="1529"/>
      <c r="AD633" s="1529"/>
      <c r="AE633" s="1529"/>
      <c r="AF633" s="1529"/>
      <c r="AG633" s="1529"/>
    </row>
    <row r="634" spans="1:33" ht="27" hidden="1" thickBot="1">
      <c r="A634" s="1530"/>
      <c r="B634" s="1532"/>
      <c r="C634" s="1530"/>
      <c r="D634" s="1410" t="s">
        <v>2371</v>
      </c>
      <c r="E634" s="1528" t="s">
        <v>2129</v>
      </c>
      <c r="F634" s="1528" t="s">
        <v>2129</v>
      </c>
      <c r="G634" s="1528" t="s">
        <v>2129</v>
      </c>
      <c r="H634" s="1528" t="s">
        <v>2129</v>
      </c>
      <c r="I634" s="1528" t="s">
        <v>2129</v>
      </c>
      <c r="J634" s="1528" t="s">
        <v>2129</v>
      </c>
      <c r="K634" s="1528" t="s">
        <v>2129</v>
      </c>
      <c r="L634" s="1528" t="s">
        <v>2286</v>
      </c>
      <c r="M634" s="1528">
        <v>166</v>
      </c>
      <c r="N634" s="1528">
        <v>66</v>
      </c>
      <c r="O634" s="1528">
        <v>66</v>
      </c>
      <c r="P634" s="1528"/>
      <c r="Q634" s="1528"/>
      <c r="R634" s="1528"/>
      <c r="S634" s="1528" t="s">
        <v>2129</v>
      </c>
      <c r="T634" s="1528" t="s">
        <v>2129</v>
      </c>
      <c r="U634" s="1528" t="s">
        <v>2129</v>
      </c>
      <c r="V634" s="1528" t="s">
        <v>2129</v>
      </c>
      <c r="W634" s="1528" t="s">
        <v>2129</v>
      </c>
      <c r="X634" s="1528" t="s">
        <v>2129</v>
      </c>
      <c r="Y634" s="1528" t="s">
        <v>2129</v>
      </c>
      <c r="Z634" s="1528" t="s">
        <v>2129</v>
      </c>
      <c r="AA634" s="1528" t="s">
        <v>2129</v>
      </c>
      <c r="AB634" s="1528" t="s">
        <v>2129</v>
      </c>
      <c r="AC634" s="1528" t="s">
        <v>2129</v>
      </c>
      <c r="AD634" s="1528" t="s">
        <v>2129</v>
      </c>
      <c r="AE634" s="1528" t="s">
        <v>2129</v>
      </c>
      <c r="AF634" s="1528" t="s">
        <v>2129</v>
      </c>
      <c r="AG634" s="1528" t="s">
        <v>2129</v>
      </c>
    </row>
    <row r="635" spans="1:33" ht="68.25" hidden="1" thickBot="1">
      <c r="A635" s="1530"/>
      <c r="B635" s="1532"/>
      <c r="C635" s="1530"/>
      <c r="D635" s="1409" t="s">
        <v>2372</v>
      </c>
      <c r="E635" s="1529"/>
      <c r="F635" s="1529"/>
      <c r="G635" s="1529"/>
      <c r="H635" s="1529"/>
      <c r="I635" s="1529"/>
      <c r="J635" s="1529"/>
      <c r="K635" s="1529"/>
      <c r="L635" s="1529"/>
      <c r="M635" s="1529"/>
      <c r="N635" s="1529"/>
      <c r="O635" s="1529"/>
      <c r="P635" s="1529"/>
      <c r="Q635" s="1529"/>
      <c r="R635" s="1529"/>
      <c r="S635" s="1529"/>
      <c r="T635" s="1529"/>
      <c r="U635" s="1529"/>
      <c r="V635" s="1529"/>
      <c r="W635" s="1529"/>
      <c r="X635" s="1529"/>
      <c r="Y635" s="1529"/>
      <c r="Z635" s="1529"/>
      <c r="AA635" s="1529"/>
      <c r="AB635" s="1529"/>
      <c r="AC635" s="1529"/>
      <c r="AD635" s="1529"/>
      <c r="AE635" s="1529"/>
      <c r="AF635" s="1529"/>
      <c r="AG635" s="1529"/>
    </row>
    <row r="636" spans="1:33" ht="27" hidden="1" thickBot="1">
      <c r="A636" s="1530"/>
      <c r="B636" s="1532"/>
      <c r="C636" s="1530"/>
      <c r="D636" s="1410" t="s">
        <v>2675</v>
      </c>
      <c r="E636" s="1528" t="s">
        <v>2129</v>
      </c>
      <c r="F636" s="1528" t="s">
        <v>2129</v>
      </c>
      <c r="G636" s="1528" t="s">
        <v>2129</v>
      </c>
      <c r="H636" s="1528" t="s">
        <v>2129</v>
      </c>
      <c r="I636" s="1528" t="s">
        <v>2129</v>
      </c>
      <c r="J636" s="1528" t="s">
        <v>2129</v>
      </c>
      <c r="K636" s="1528" t="s">
        <v>2129</v>
      </c>
      <c r="L636" s="1528" t="s">
        <v>2286</v>
      </c>
      <c r="M636" s="1528">
        <v>166</v>
      </c>
      <c r="N636" s="1528">
        <v>132</v>
      </c>
      <c r="O636" s="1528">
        <v>132</v>
      </c>
      <c r="P636" s="1528"/>
      <c r="Q636" s="1528"/>
      <c r="R636" s="1528"/>
      <c r="S636" s="1528" t="s">
        <v>2129</v>
      </c>
      <c r="T636" s="1528" t="s">
        <v>2129</v>
      </c>
      <c r="U636" s="1528" t="s">
        <v>2129</v>
      </c>
      <c r="V636" s="1528" t="s">
        <v>2129</v>
      </c>
      <c r="W636" s="1528" t="s">
        <v>2129</v>
      </c>
      <c r="X636" s="1528" t="s">
        <v>2129</v>
      </c>
      <c r="Y636" s="1528" t="s">
        <v>2129</v>
      </c>
      <c r="Z636" s="1528" t="s">
        <v>2129</v>
      </c>
      <c r="AA636" s="1528" t="s">
        <v>2129</v>
      </c>
      <c r="AB636" s="1528" t="s">
        <v>2129</v>
      </c>
      <c r="AC636" s="1528" t="s">
        <v>2129</v>
      </c>
      <c r="AD636" s="1528" t="s">
        <v>2129</v>
      </c>
      <c r="AE636" s="1528" t="s">
        <v>2129</v>
      </c>
      <c r="AF636" s="1528" t="s">
        <v>2129</v>
      </c>
      <c r="AG636" s="1528" t="s">
        <v>2129</v>
      </c>
    </row>
    <row r="637" spans="1:33" ht="76.5" hidden="1" thickBot="1">
      <c r="A637" s="1530"/>
      <c r="B637" s="1532"/>
      <c r="C637" s="1530"/>
      <c r="D637" s="1409" t="s">
        <v>2676</v>
      </c>
      <c r="E637" s="1529"/>
      <c r="F637" s="1529"/>
      <c r="G637" s="1529"/>
      <c r="H637" s="1529"/>
      <c r="I637" s="1529"/>
      <c r="J637" s="1529"/>
      <c r="K637" s="1529"/>
      <c r="L637" s="1529"/>
      <c r="M637" s="1529"/>
      <c r="N637" s="1529"/>
      <c r="O637" s="1529"/>
      <c r="P637" s="1529"/>
      <c r="Q637" s="1529"/>
      <c r="R637" s="1529"/>
      <c r="S637" s="1529"/>
      <c r="T637" s="1529"/>
      <c r="U637" s="1529"/>
      <c r="V637" s="1529"/>
      <c r="W637" s="1529"/>
      <c r="X637" s="1529"/>
      <c r="Y637" s="1529"/>
      <c r="Z637" s="1529"/>
      <c r="AA637" s="1529"/>
      <c r="AB637" s="1529"/>
      <c r="AC637" s="1529"/>
      <c r="AD637" s="1529"/>
      <c r="AE637" s="1529"/>
      <c r="AF637" s="1529"/>
      <c r="AG637" s="1529"/>
    </row>
    <row r="638" spans="1:33" ht="27" hidden="1" thickBot="1">
      <c r="A638" s="1530"/>
      <c r="B638" s="1532"/>
      <c r="C638" s="1530"/>
      <c r="D638" s="1410" t="s">
        <v>2677</v>
      </c>
      <c r="E638" s="1528" t="s">
        <v>2129</v>
      </c>
      <c r="F638" s="1528" t="s">
        <v>2129</v>
      </c>
      <c r="G638" s="1528" t="s">
        <v>2129</v>
      </c>
      <c r="H638" s="1528" t="s">
        <v>2129</v>
      </c>
      <c r="I638" s="1528" t="s">
        <v>2129</v>
      </c>
      <c r="J638" s="1528" t="s">
        <v>2129</v>
      </c>
      <c r="K638" s="1528" t="s">
        <v>2129</v>
      </c>
      <c r="L638" s="1528" t="s">
        <v>2286</v>
      </c>
      <c r="M638" s="1528">
        <v>166</v>
      </c>
      <c r="N638" s="1528">
        <v>54</v>
      </c>
      <c r="O638" s="1528">
        <v>54</v>
      </c>
      <c r="P638" s="1528"/>
      <c r="Q638" s="1528"/>
      <c r="R638" s="1528"/>
      <c r="S638" s="1528" t="s">
        <v>2129</v>
      </c>
      <c r="T638" s="1528" t="s">
        <v>2129</v>
      </c>
      <c r="U638" s="1528" t="s">
        <v>2129</v>
      </c>
      <c r="V638" s="1528" t="s">
        <v>2129</v>
      </c>
      <c r="W638" s="1528" t="s">
        <v>2129</v>
      </c>
      <c r="X638" s="1528" t="s">
        <v>2129</v>
      </c>
      <c r="Y638" s="1528" t="s">
        <v>2129</v>
      </c>
      <c r="Z638" s="1528" t="s">
        <v>2129</v>
      </c>
      <c r="AA638" s="1528" t="s">
        <v>2129</v>
      </c>
      <c r="AB638" s="1528" t="s">
        <v>2129</v>
      </c>
      <c r="AC638" s="1528" t="s">
        <v>2129</v>
      </c>
      <c r="AD638" s="1528" t="s">
        <v>2129</v>
      </c>
      <c r="AE638" s="1528" t="s">
        <v>2129</v>
      </c>
      <c r="AF638" s="1528" t="s">
        <v>2129</v>
      </c>
      <c r="AG638" s="1528" t="s">
        <v>2129</v>
      </c>
    </row>
    <row r="639" spans="1:33" ht="93" hidden="1" thickBot="1">
      <c r="A639" s="1529"/>
      <c r="B639" s="1533"/>
      <c r="C639" s="1529"/>
      <c r="D639" s="1409" t="s">
        <v>2678</v>
      </c>
      <c r="E639" s="1529"/>
      <c r="F639" s="1529"/>
      <c r="G639" s="1529"/>
      <c r="H639" s="1529"/>
      <c r="I639" s="1529"/>
      <c r="J639" s="1529"/>
      <c r="K639" s="1529"/>
      <c r="L639" s="1529"/>
      <c r="M639" s="1529"/>
      <c r="N639" s="1529"/>
      <c r="O639" s="1529"/>
      <c r="P639" s="1529"/>
      <c r="Q639" s="1529"/>
      <c r="R639" s="1529"/>
      <c r="S639" s="1529"/>
      <c r="T639" s="1529"/>
      <c r="U639" s="1529"/>
      <c r="V639" s="1529"/>
      <c r="W639" s="1529"/>
      <c r="X639" s="1529"/>
      <c r="Y639" s="1529"/>
      <c r="Z639" s="1529"/>
      <c r="AA639" s="1529"/>
      <c r="AB639" s="1529"/>
      <c r="AC639" s="1529"/>
      <c r="AD639" s="1529"/>
      <c r="AE639" s="1529"/>
      <c r="AF639" s="1529"/>
      <c r="AG639" s="1529"/>
    </row>
    <row r="640" spans="1:33" ht="23.25" hidden="1" customHeight="1" thickBot="1">
      <c r="A640" s="1528">
        <v>77</v>
      </c>
      <c r="B640" s="1531">
        <v>1.7224300000000002E+35</v>
      </c>
      <c r="C640" s="1528" t="s">
        <v>2679</v>
      </c>
      <c r="D640" s="1528" t="s">
        <v>2680</v>
      </c>
      <c r="E640" s="1528">
        <v>2940.4</v>
      </c>
      <c r="F640" s="1528"/>
      <c r="G640" s="1528">
        <v>2940.4</v>
      </c>
      <c r="H640" s="1528">
        <v>2940.4</v>
      </c>
      <c r="I640" s="1528">
        <v>0</v>
      </c>
      <c r="J640" s="1528">
        <v>0</v>
      </c>
      <c r="K640" s="1528">
        <v>0</v>
      </c>
      <c r="L640" s="1528" t="s">
        <v>2129</v>
      </c>
      <c r="M640" s="1528" t="s">
        <v>2129</v>
      </c>
      <c r="N640" s="1528" t="s">
        <v>2129</v>
      </c>
      <c r="O640" s="1528" t="s">
        <v>2129</v>
      </c>
      <c r="P640" s="1528" t="s">
        <v>2129</v>
      </c>
      <c r="Q640" s="1528" t="s">
        <v>2129</v>
      </c>
      <c r="R640" s="1528" t="s">
        <v>2129</v>
      </c>
      <c r="S640" s="1410" t="s">
        <v>2149</v>
      </c>
      <c r="T640" s="1528">
        <v>29.4</v>
      </c>
      <c r="U640" s="1528">
        <v>1025.9100000000001</v>
      </c>
      <c r="V640" s="1528">
        <v>5.2016999999999998</v>
      </c>
      <c r="W640" s="1528">
        <v>12.201700000000001</v>
      </c>
      <c r="X640" s="1528" t="s">
        <v>2281</v>
      </c>
      <c r="Y640" s="1528" t="s">
        <v>2282</v>
      </c>
      <c r="Z640" s="1528" t="s">
        <v>2132</v>
      </c>
      <c r="AA640" s="1528"/>
      <c r="AB640" s="1528"/>
      <c r="AC640" s="1528"/>
      <c r="AD640" s="1528" t="s">
        <v>2609</v>
      </c>
      <c r="AE640" s="1410" t="s">
        <v>2134</v>
      </c>
      <c r="AF640" s="1528"/>
      <c r="AG640" s="1528" t="s">
        <v>2283</v>
      </c>
    </row>
    <row r="641" spans="1:33" ht="93" hidden="1" thickBot="1">
      <c r="A641" s="1530"/>
      <c r="B641" s="1532"/>
      <c r="C641" s="1530"/>
      <c r="D641" s="1529"/>
      <c r="E641" s="1529"/>
      <c r="F641" s="1529"/>
      <c r="G641" s="1529"/>
      <c r="H641" s="1529"/>
      <c r="I641" s="1529"/>
      <c r="J641" s="1529"/>
      <c r="K641" s="1529"/>
      <c r="L641" s="1529"/>
      <c r="M641" s="1529"/>
      <c r="N641" s="1529"/>
      <c r="O641" s="1529"/>
      <c r="P641" s="1529"/>
      <c r="Q641" s="1529"/>
      <c r="R641" s="1529"/>
      <c r="S641" s="1409" t="s">
        <v>2199</v>
      </c>
      <c r="T641" s="1529"/>
      <c r="U641" s="1529"/>
      <c r="V641" s="1529"/>
      <c r="W641" s="1529"/>
      <c r="X641" s="1529"/>
      <c r="Y641" s="1529"/>
      <c r="Z641" s="1529"/>
      <c r="AA641" s="1529"/>
      <c r="AB641" s="1529"/>
      <c r="AC641" s="1529"/>
      <c r="AD641" s="1529"/>
      <c r="AE641" s="1409" t="s">
        <v>2136</v>
      </c>
      <c r="AF641" s="1529"/>
      <c r="AG641" s="1529"/>
    </row>
    <row r="642" spans="1:33" ht="15.75" hidden="1" thickBot="1">
      <c r="A642" s="1530"/>
      <c r="B642" s="1532"/>
      <c r="C642" s="1530"/>
      <c r="D642" s="1410" t="s">
        <v>2681</v>
      </c>
      <c r="E642" s="1528" t="s">
        <v>2129</v>
      </c>
      <c r="F642" s="1528" t="s">
        <v>2129</v>
      </c>
      <c r="G642" s="1528" t="s">
        <v>2129</v>
      </c>
      <c r="H642" s="1528" t="s">
        <v>2129</v>
      </c>
      <c r="I642" s="1528" t="s">
        <v>2129</v>
      </c>
      <c r="J642" s="1528" t="s">
        <v>2129</v>
      </c>
      <c r="K642" s="1528" t="s">
        <v>2129</v>
      </c>
      <c r="L642" s="1528" t="s">
        <v>2286</v>
      </c>
      <c r="M642" s="1528">
        <v>166</v>
      </c>
      <c r="N642" s="1528">
        <v>30</v>
      </c>
      <c r="O642" s="1528">
        <v>30</v>
      </c>
      <c r="P642" s="1528"/>
      <c r="Q642" s="1528"/>
      <c r="R642" s="1528"/>
      <c r="S642" s="1528" t="s">
        <v>2129</v>
      </c>
      <c r="T642" s="1528" t="s">
        <v>2129</v>
      </c>
      <c r="U642" s="1528" t="s">
        <v>2129</v>
      </c>
      <c r="V642" s="1528" t="s">
        <v>2129</v>
      </c>
      <c r="W642" s="1528" t="s">
        <v>2129</v>
      </c>
      <c r="X642" s="1528" t="s">
        <v>2129</v>
      </c>
      <c r="Y642" s="1528" t="s">
        <v>2129</v>
      </c>
      <c r="Z642" s="1528" t="s">
        <v>2129</v>
      </c>
      <c r="AA642" s="1528" t="s">
        <v>2129</v>
      </c>
      <c r="AB642" s="1528" t="s">
        <v>2129</v>
      </c>
      <c r="AC642" s="1528" t="s">
        <v>2129</v>
      </c>
      <c r="AD642" s="1528" t="s">
        <v>2129</v>
      </c>
      <c r="AE642" s="1528" t="s">
        <v>2129</v>
      </c>
      <c r="AF642" s="1528" t="s">
        <v>2129</v>
      </c>
      <c r="AG642" s="1528" t="s">
        <v>2129</v>
      </c>
    </row>
    <row r="643" spans="1:33" ht="84.75" hidden="1" thickBot="1">
      <c r="A643" s="1530"/>
      <c r="B643" s="1532"/>
      <c r="C643" s="1530"/>
      <c r="D643" s="1409" t="s">
        <v>2682</v>
      </c>
      <c r="E643" s="1529"/>
      <c r="F643" s="1529"/>
      <c r="G643" s="1529"/>
      <c r="H643" s="1529"/>
      <c r="I643" s="1529"/>
      <c r="J643" s="1529"/>
      <c r="K643" s="1529"/>
      <c r="L643" s="1529"/>
      <c r="M643" s="1529"/>
      <c r="N643" s="1529"/>
      <c r="O643" s="1529"/>
      <c r="P643" s="1529"/>
      <c r="Q643" s="1529"/>
      <c r="R643" s="1529"/>
      <c r="S643" s="1529"/>
      <c r="T643" s="1529"/>
      <c r="U643" s="1529"/>
      <c r="V643" s="1529"/>
      <c r="W643" s="1529"/>
      <c r="X643" s="1529"/>
      <c r="Y643" s="1529"/>
      <c r="Z643" s="1529"/>
      <c r="AA643" s="1529"/>
      <c r="AB643" s="1529"/>
      <c r="AC643" s="1529"/>
      <c r="AD643" s="1529"/>
      <c r="AE643" s="1529"/>
      <c r="AF643" s="1529"/>
      <c r="AG643" s="1529"/>
    </row>
    <row r="644" spans="1:33" ht="18.75" hidden="1" thickBot="1">
      <c r="A644" s="1530"/>
      <c r="B644" s="1532"/>
      <c r="C644" s="1530"/>
      <c r="D644" s="1410" t="s">
        <v>2683</v>
      </c>
      <c r="E644" s="1528" t="s">
        <v>2129</v>
      </c>
      <c r="F644" s="1528" t="s">
        <v>2129</v>
      </c>
      <c r="G644" s="1528" t="s">
        <v>2129</v>
      </c>
      <c r="H644" s="1528" t="s">
        <v>2129</v>
      </c>
      <c r="I644" s="1528" t="s">
        <v>2129</v>
      </c>
      <c r="J644" s="1528" t="s">
        <v>2129</v>
      </c>
      <c r="K644" s="1528" t="s">
        <v>2129</v>
      </c>
      <c r="L644" s="1528" t="s">
        <v>2286</v>
      </c>
      <c r="M644" s="1528">
        <v>166</v>
      </c>
      <c r="N644" s="1528">
        <v>30</v>
      </c>
      <c r="O644" s="1528">
        <v>30</v>
      </c>
      <c r="P644" s="1528"/>
      <c r="Q644" s="1528"/>
      <c r="R644" s="1528"/>
      <c r="S644" s="1528" t="s">
        <v>2129</v>
      </c>
      <c r="T644" s="1528" t="s">
        <v>2129</v>
      </c>
      <c r="U644" s="1528" t="s">
        <v>2129</v>
      </c>
      <c r="V644" s="1528" t="s">
        <v>2129</v>
      </c>
      <c r="W644" s="1528" t="s">
        <v>2129</v>
      </c>
      <c r="X644" s="1528" t="s">
        <v>2129</v>
      </c>
      <c r="Y644" s="1528" t="s">
        <v>2129</v>
      </c>
      <c r="Z644" s="1528" t="s">
        <v>2129</v>
      </c>
      <c r="AA644" s="1528" t="s">
        <v>2129</v>
      </c>
      <c r="AB644" s="1528" t="s">
        <v>2129</v>
      </c>
      <c r="AC644" s="1528" t="s">
        <v>2129</v>
      </c>
      <c r="AD644" s="1528" t="s">
        <v>2129</v>
      </c>
      <c r="AE644" s="1528" t="s">
        <v>2129</v>
      </c>
      <c r="AF644" s="1528" t="s">
        <v>2129</v>
      </c>
      <c r="AG644" s="1528" t="s">
        <v>2129</v>
      </c>
    </row>
    <row r="645" spans="1:33" ht="117.75" hidden="1" thickBot="1">
      <c r="A645" s="1529"/>
      <c r="B645" s="1533"/>
      <c r="C645" s="1529"/>
      <c r="D645" s="1409" t="s">
        <v>2684</v>
      </c>
      <c r="E645" s="1529"/>
      <c r="F645" s="1529"/>
      <c r="G645" s="1529"/>
      <c r="H645" s="1529"/>
      <c r="I645" s="1529"/>
      <c r="J645" s="1529"/>
      <c r="K645" s="1529"/>
      <c r="L645" s="1529"/>
      <c r="M645" s="1529"/>
      <c r="N645" s="1529"/>
      <c r="O645" s="1529"/>
      <c r="P645" s="1529"/>
      <c r="Q645" s="1529"/>
      <c r="R645" s="1529"/>
      <c r="S645" s="1529"/>
      <c r="T645" s="1529"/>
      <c r="U645" s="1529"/>
      <c r="V645" s="1529"/>
      <c r="W645" s="1529"/>
      <c r="X645" s="1529"/>
      <c r="Y645" s="1529"/>
      <c r="Z645" s="1529"/>
      <c r="AA645" s="1529"/>
      <c r="AB645" s="1529"/>
      <c r="AC645" s="1529"/>
      <c r="AD645" s="1529"/>
      <c r="AE645" s="1529"/>
      <c r="AF645" s="1529"/>
      <c r="AG645" s="1529"/>
    </row>
    <row r="646" spans="1:33" ht="23.25" hidden="1" customHeight="1" thickBot="1">
      <c r="A646" s="1528">
        <v>78</v>
      </c>
      <c r="B646" s="1531">
        <v>1.7224300000000002E+35</v>
      </c>
      <c r="C646" s="1528" t="s">
        <v>2685</v>
      </c>
      <c r="D646" s="1528" t="s">
        <v>2686</v>
      </c>
      <c r="E646" s="1528">
        <v>15337.98</v>
      </c>
      <c r="F646" s="1528"/>
      <c r="G646" s="1528">
        <v>15337.98</v>
      </c>
      <c r="H646" s="1528">
        <v>15337.98</v>
      </c>
      <c r="I646" s="1528">
        <v>0</v>
      </c>
      <c r="J646" s="1528">
        <v>0</v>
      </c>
      <c r="K646" s="1528">
        <v>0</v>
      </c>
      <c r="L646" s="1528" t="s">
        <v>2129</v>
      </c>
      <c r="M646" s="1528" t="s">
        <v>2129</v>
      </c>
      <c r="N646" s="1528" t="s">
        <v>2129</v>
      </c>
      <c r="O646" s="1528" t="s">
        <v>2129</v>
      </c>
      <c r="P646" s="1528" t="s">
        <v>2129</v>
      </c>
      <c r="Q646" s="1528" t="s">
        <v>2129</v>
      </c>
      <c r="R646" s="1528" t="s">
        <v>2129</v>
      </c>
      <c r="S646" s="1410" t="s">
        <v>2149</v>
      </c>
      <c r="T646" s="1528">
        <v>153.38</v>
      </c>
      <c r="U646" s="1528">
        <v>1952.52</v>
      </c>
      <c r="V646" s="1528">
        <v>5.2016999999999998</v>
      </c>
      <c r="W646" s="1528">
        <v>12.201700000000001</v>
      </c>
      <c r="X646" s="1528" t="s">
        <v>2281</v>
      </c>
      <c r="Y646" s="1528" t="s">
        <v>2132</v>
      </c>
      <c r="Z646" s="1528" t="s">
        <v>2282</v>
      </c>
      <c r="AA646" s="1528"/>
      <c r="AB646" s="1528"/>
      <c r="AC646" s="1528"/>
      <c r="AD646" s="1528" t="s">
        <v>2609</v>
      </c>
      <c r="AE646" s="1410" t="s">
        <v>2134</v>
      </c>
      <c r="AF646" s="1528"/>
      <c r="AG646" s="1528" t="s">
        <v>2283</v>
      </c>
    </row>
    <row r="647" spans="1:33" ht="93" hidden="1" thickBot="1">
      <c r="A647" s="1530"/>
      <c r="B647" s="1532"/>
      <c r="C647" s="1530"/>
      <c r="D647" s="1529"/>
      <c r="E647" s="1529"/>
      <c r="F647" s="1529"/>
      <c r="G647" s="1529"/>
      <c r="H647" s="1529"/>
      <c r="I647" s="1529"/>
      <c r="J647" s="1529"/>
      <c r="K647" s="1529"/>
      <c r="L647" s="1529"/>
      <c r="M647" s="1529"/>
      <c r="N647" s="1529"/>
      <c r="O647" s="1529"/>
      <c r="P647" s="1529"/>
      <c r="Q647" s="1529"/>
      <c r="R647" s="1529"/>
      <c r="S647" s="1409" t="s">
        <v>2189</v>
      </c>
      <c r="T647" s="1529"/>
      <c r="U647" s="1529"/>
      <c r="V647" s="1529"/>
      <c r="W647" s="1529"/>
      <c r="X647" s="1529"/>
      <c r="Y647" s="1529"/>
      <c r="Z647" s="1529"/>
      <c r="AA647" s="1529"/>
      <c r="AB647" s="1529"/>
      <c r="AC647" s="1529"/>
      <c r="AD647" s="1529"/>
      <c r="AE647" s="1409" t="s">
        <v>2136</v>
      </c>
      <c r="AF647" s="1529"/>
      <c r="AG647" s="1529"/>
    </row>
    <row r="648" spans="1:33" ht="18.75" hidden="1" thickBot="1">
      <c r="A648" s="1530"/>
      <c r="B648" s="1532"/>
      <c r="C648" s="1530"/>
      <c r="D648" s="1410" t="s">
        <v>2687</v>
      </c>
      <c r="E648" s="1528" t="s">
        <v>2129</v>
      </c>
      <c r="F648" s="1528" t="s">
        <v>2129</v>
      </c>
      <c r="G648" s="1528" t="s">
        <v>2129</v>
      </c>
      <c r="H648" s="1528" t="s">
        <v>2129</v>
      </c>
      <c r="I648" s="1528" t="s">
        <v>2129</v>
      </c>
      <c r="J648" s="1528" t="s">
        <v>2129</v>
      </c>
      <c r="K648" s="1528" t="s">
        <v>2129</v>
      </c>
      <c r="L648" s="1528" t="s">
        <v>2166</v>
      </c>
      <c r="M648" s="1528">
        <v>796</v>
      </c>
      <c r="N648" s="1528">
        <v>3626</v>
      </c>
      <c r="O648" s="1528">
        <v>3626</v>
      </c>
      <c r="P648" s="1528"/>
      <c r="Q648" s="1528"/>
      <c r="R648" s="1528"/>
      <c r="S648" s="1528" t="s">
        <v>2129</v>
      </c>
      <c r="T648" s="1528" t="s">
        <v>2129</v>
      </c>
      <c r="U648" s="1528" t="s">
        <v>2129</v>
      </c>
      <c r="V648" s="1528" t="s">
        <v>2129</v>
      </c>
      <c r="W648" s="1528" t="s">
        <v>2129</v>
      </c>
      <c r="X648" s="1528" t="s">
        <v>2129</v>
      </c>
      <c r="Y648" s="1528" t="s">
        <v>2129</v>
      </c>
      <c r="Z648" s="1528" t="s">
        <v>2129</v>
      </c>
      <c r="AA648" s="1528" t="s">
        <v>2129</v>
      </c>
      <c r="AB648" s="1528" t="s">
        <v>2129</v>
      </c>
      <c r="AC648" s="1528" t="s">
        <v>2129</v>
      </c>
      <c r="AD648" s="1528" t="s">
        <v>2129</v>
      </c>
      <c r="AE648" s="1528" t="s">
        <v>2129</v>
      </c>
      <c r="AF648" s="1528" t="s">
        <v>2129</v>
      </c>
      <c r="AG648" s="1528" t="s">
        <v>2129</v>
      </c>
    </row>
    <row r="649" spans="1:33" ht="60" hidden="1" thickBot="1">
      <c r="A649" s="1529"/>
      <c r="B649" s="1533"/>
      <c r="C649" s="1529"/>
      <c r="D649" s="1409" t="s">
        <v>2688</v>
      </c>
      <c r="E649" s="1529"/>
      <c r="F649" s="1529"/>
      <c r="G649" s="1529"/>
      <c r="H649" s="1529"/>
      <c r="I649" s="1529"/>
      <c r="J649" s="1529"/>
      <c r="K649" s="1529"/>
      <c r="L649" s="1529"/>
      <c r="M649" s="1529"/>
      <c r="N649" s="1529"/>
      <c r="O649" s="1529"/>
      <c r="P649" s="1529"/>
      <c r="Q649" s="1529"/>
      <c r="R649" s="1529"/>
      <c r="S649" s="1529"/>
      <c r="T649" s="1529"/>
      <c r="U649" s="1529"/>
      <c r="V649" s="1529"/>
      <c r="W649" s="1529"/>
      <c r="X649" s="1529"/>
      <c r="Y649" s="1529"/>
      <c r="Z649" s="1529"/>
      <c r="AA649" s="1529"/>
      <c r="AB649" s="1529"/>
      <c r="AC649" s="1529"/>
      <c r="AD649" s="1529"/>
      <c r="AE649" s="1529"/>
      <c r="AF649" s="1529"/>
      <c r="AG649" s="1529"/>
    </row>
    <row r="650" spans="1:33" ht="23.25" hidden="1" customHeight="1" thickBot="1">
      <c r="A650" s="1528">
        <v>79</v>
      </c>
      <c r="B650" s="1531">
        <v>1.7224300000000002E+35</v>
      </c>
      <c r="C650" s="1528" t="s">
        <v>2689</v>
      </c>
      <c r="D650" s="1528" t="s">
        <v>2386</v>
      </c>
      <c r="E650" s="1528" t="s">
        <v>2690</v>
      </c>
      <c r="F650" s="1528"/>
      <c r="G650" s="1528">
        <v>90719.72</v>
      </c>
      <c r="H650" s="1528">
        <v>90719.72</v>
      </c>
      <c r="I650" s="1528">
        <v>0</v>
      </c>
      <c r="J650" s="1528">
        <v>0</v>
      </c>
      <c r="K650" s="1528">
        <v>0</v>
      </c>
      <c r="L650" s="1528" t="s">
        <v>2129</v>
      </c>
      <c r="M650" s="1528" t="s">
        <v>2129</v>
      </c>
      <c r="N650" s="1528" t="s">
        <v>2129</v>
      </c>
      <c r="O650" s="1528" t="s">
        <v>2129</v>
      </c>
      <c r="P650" s="1528" t="s">
        <v>2129</v>
      </c>
      <c r="Q650" s="1528" t="s">
        <v>2129</v>
      </c>
      <c r="R650" s="1528" t="s">
        <v>2129</v>
      </c>
      <c r="S650" s="1410" t="s">
        <v>2130</v>
      </c>
      <c r="T650" s="1528">
        <v>907.2</v>
      </c>
      <c r="U650" s="1528">
        <v>4535.99</v>
      </c>
      <c r="V650" s="1528">
        <v>5.2016999999999998</v>
      </c>
      <c r="W650" s="1528">
        <v>12.201700000000001</v>
      </c>
      <c r="X650" s="1528" t="s">
        <v>2281</v>
      </c>
      <c r="Y650" s="1528" t="s">
        <v>2282</v>
      </c>
      <c r="Z650" s="1528" t="s">
        <v>2132</v>
      </c>
      <c r="AA650" s="1528" t="s">
        <v>2301</v>
      </c>
      <c r="AB650" s="1528"/>
      <c r="AC650" s="1528"/>
      <c r="AD650" s="1528"/>
      <c r="AE650" s="1528"/>
      <c r="AF650" s="1528"/>
      <c r="AG650" s="1528" t="s">
        <v>2283</v>
      </c>
    </row>
    <row r="651" spans="1:33" ht="84.75" hidden="1" thickBot="1">
      <c r="A651" s="1530"/>
      <c r="B651" s="1532"/>
      <c r="C651" s="1530"/>
      <c r="D651" s="1530"/>
      <c r="E651" s="1530"/>
      <c r="F651" s="1530"/>
      <c r="G651" s="1530"/>
      <c r="H651" s="1530"/>
      <c r="I651" s="1530"/>
      <c r="J651" s="1530"/>
      <c r="K651" s="1530"/>
      <c r="L651" s="1530"/>
      <c r="M651" s="1530"/>
      <c r="N651" s="1530"/>
      <c r="O651" s="1530"/>
      <c r="P651" s="1530"/>
      <c r="Q651" s="1530"/>
      <c r="R651" s="1530"/>
      <c r="S651" s="1410" t="s">
        <v>2325</v>
      </c>
      <c r="T651" s="1530"/>
      <c r="U651" s="1530"/>
      <c r="V651" s="1530"/>
      <c r="W651" s="1530"/>
      <c r="X651" s="1530"/>
      <c r="Y651" s="1530"/>
      <c r="Z651" s="1530"/>
      <c r="AA651" s="1530"/>
      <c r="AB651" s="1530"/>
      <c r="AC651" s="1530"/>
      <c r="AD651" s="1530"/>
      <c r="AE651" s="1530"/>
      <c r="AF651" s="1530"/>
      <c r="AG651" s="1530"/>
    </row>
    <row r="652" spans="1:33" ht="15.75" hidden="1" thickBot="1">
      <c r="A652" s="1530"/>
      <c r="B652" s="1532"/>
      <c r="C652" s="1530"/>
      <c r="D652" s="1529"/>
      <c r="E652" s="1529"/>
      <c r="F652" s="1529"/>
      <c r="G652" s="1529"/>
      <c r="H652" s="1529"/>
      <c r="I652" s="1529"/>
      <c r="J652" s="1529"/>
      <c r="K652" s="1529"/>
      <c r="L652" s="1529"/>
      <c r="M652" s="1529"/>
      <c r="N652" s="1529"/>
      <c r="O652" s="1529"/>
      <c r="P652" s="1529"/>
      <c r="Q652" s="1529"/>
      <c r="R652" s="1529"/>
      <c r="S652" s="1409"/>
      <c r="T652" s="1529"/>
      <c r="U652" s="1529"/>
      <c r="V652" s="1529"/>
      <c r="W652" s="1529"/>
      <c r="X652" s="1529"/>
      <c r="Y652" s="1529"/>
      <c r="Z652" s="1529"/>
      <c r="AA652" s="1529"/>
      <c r="AB652" s="1529"/>
      <c r="AC652" s="1529"/>
      <c r="AD652" s="1529"/>
      <c r="AE652" s="1529"/>
      <c r="AF652" s="1529"/>
      <c r="AG652" s="1529"/>
    </row>
    <row r="653" spans="1:33" ht="27" hidden="1" thickBot="1">
      <c r="A653" s="1530"/>
      <c r="B653" s="1532"/>
      <c r="C653" s="1530"/>
      <c r="D653" s="1410" t="s">
        <v>2691</v>
      </c>
      <c r="E653" s="1528" t="s">
        <v>2129</v>
      </c>
      <c r="F653" s="1528" t="s">
        <v>2129</v>
      </c>
      <c r="G653" s="1528" t="s">
        <v>2129</v>
      </c>
      <c r="H653" s="1528" t="s">
        <v>2129</v>
      </c>
      <c r="I653" s="1528" t="s">
        <v>2129</v>
      </c>
      <c r="J653" s="1528" t="s">
        <v>2129</v>
      </c>
      <c r="K653" s="1528" t="s">
        <v>2129</v>
      </c>
      <c r="L653" s="1528" t="s">
        <v>2286</v>
      </c>
      <c r="M653" s="1528">
        <v>166</v>
      </c>
      <c r="N653" s="1528">
        <v>948</v>
      </c>
      <c r="O653" s="1528">
        <v>948</v>
      </c>
      <c r="P653" s="1528"/>
      <c r="Q653" s="1528"/>
      <c r="R653" s="1528"/>
      <c r="S653" s="1528" t="s">
        <v>2129</v>
      </c>
      <c r="T653" s="1528" t="s">
        <v>2129</v>
      </c>
      <c r="U653" s="1528" t="s">
        <v>2129</v>
      </c>
      <c r="V653" s="1528" t="s">
        <v>2129</v>
      </c>
      <c r="W653" s="1528" t="s">
        <v>2129</v>
      </c>
      <c r="X653" s="1528" t="s">
        <v>2129</v>
      </c>
      <c r="Y653" s="1528" t="s">
        <v>2129</v>
      </c>
      <c r="Z653" s="1528" t="s">
        <v>2129</v>
      </c>
      <c r="AA653" s="1528" t="s">
        <v>2129</v>
      </c>
      <c r="AB653" s="1528" t="s">
        <v>2129</v>
      </c>
      <c r="AC653" s="1528" t="s">
        <v>2129</v>
      </c>
      <c r="AD653" s="1528" t="s">
        <v>2129</v>
      </c>
      <c r="AE653" s="1528" t="s">
        <v>2129</v>
      </c>
      <c r="AF653" s="1528" t="s">
        <v>2129</v>
      </c>
      <c r="AG653" s="1528" t="s">
        <v>2129</v>
      </c>
    </row>
    <row r="654" spans="1:33" ht="68.25" hidden="1" thickBot="1">
      <c r="A654" s="1530"/>
      <c r="B654" s="1532"/>
      <c r="C654" s="1530"/>
      <c r="D654" s="1409" t="s">
        <v>2692</v>
      </c>
      <c r="E654" s="1529"/>
      <c r="F654" s="1529"/>
      <c r="G654" s="1529"/>
      <c r="H654" s="1529"/>
      <c r="I654" s="1529"/>
      <c r="J654" s="1529"/>
      <c r="K654" s="1529"/>
      <c r="L654" s="1529"/>
      <c r="M654" s="1529"/>
      <c r="N654" s="1529"/>
      <c r="O654" s="1529"/>
      <c r="P654" s="1529"/>
      <c r="Q654" s="1529"/>
      <c r="R654" s="1529"/>
      <c r="S654" s="1529"/>
      <c r="T654" s="1529"/>
      <c r="U654" s="1529"/>
      <c r="V654" s="1529"/>
      <c r="W654" s="1529"/>
      <c r="X654" s="1529"/>
      <c r="Y654" s="1529"/>
      <c r="Z654" s="1529"/>
      <c r="AA654" s="1529"/>
      <c r="AB654" s="1529"/>
      <c r="AC654" s="1529"/>
      <c r="AD654" s="1529"/>
      <c r="AE654" s="1529"/>
      <c r="AF654" s="1529"/>
      <c r="AG654" s="1529"/>
    </row>
    <row r="655" spans="1:33" ht="27" hidden="1" thickBot="1">
      <c r="A655" s="1530"/>
      <c r="B655" s="1532"/>
      <c r="C655" s="1530"/>
      <c r="D655" s="1410" t="s">
        <v>2393</v>
      </c>
      <c r="E655" s="1528" t="s">
        <v>2129</v>
      </c>
      <c r="F655" s="1528" t="s">
        <v>2129</v>
      </c>
      <c r="G655" s="1528" t="s">
        <v>2129</v>
      </c>
      <c r="H655" s="1528" t="s">
        <v>2129</v>
      </c>
      <c r="I655" s="1528" t="s">
        <v>2129</v>
      </c>
      <c r="J655" s="1528" t="s">
        <v>2129</v>
      </c>
      <c r="K655" s="1528" t="s">
        <v>2129</v>
      </c>
      <c r="L655" s="1528" t="s">
        <v>2286</v>
      </c>
      <c r="M655" s="1528">
        <v>166</v>
      </c>
      <c r="N655" s="1528">
        <v>552</v>
      </c>
      <c r="O655" s="1528">
        <v>552</v>
      </c>
      <c r="P655" s="1528"/>
      <c r="Q655" s="1528"/>
      <c r="R655" s="1528"/>
      <c r="S655" s="1528" t="s">
        <v>2129</v>
      </c>
      <c r="T655" s="1528" t="s">
        <v>2129</v>
      </c>
      <c r="U655" s="1528" t="s">
        <v>2129</v>
      </c>
      <c r="V655" s="1528" t="s">
        <v>2129</v>
      </c>
      <c r="W655" s="1528" t="s">
        <v>2129</v>
      </c>
      <c r="X655" s="1528" t="s">
        <v>2129</v>
      </c>
      <c r="Y655" s="1528" t="s">
        <v>2129</v>
      </c>
      <c r="Z655" s="1528" t="s">
        <v>2129</v>
      </c>
      <c r="AA655" s="1528" t="s">
        <v>2129</v>
      </c>
      <c r="AB655" s="1528" t="s">
        <v>2129</v>
      </c>
      <c r="AC655" s="1528" t="s">
        <v>2129</v>
      </c>
      <c r="AD655" s="1528" t="s">
        <v>2129</v>
      </c>
      <c r="AE655" s="1528" t="s">
        <v>2129</v>
      </c>
      <c r="AF655" s="1528" t="s">
        <v>2129</v>
      </c>
      <c r="AG655" s="1528" t="s">
        <v>2129</v>
      </c>
    </row>
    <row r="656" spans="1:33" ht="68.25" hidden="1" thickBot="1">
      <c r="A656" s="1530"/>
      <c r="B656" s="1532"/>
      <c r="C656" s="1530"/>
      <c r="D656" s="1409" t="s">
        <v>2692</v>
      </c>
      <c r="E656" s="1529"/>
      <c r="F656" s="1529"/>
      <c r="G656" s="1529"/>
      <c r="H656" s="1529"/>
      <c r="I656" s="1529"/>
      <c r="J656" s="1529"/>
      <c r="K656" s="1529"/>
      <c r="L656" s="1529"/>
      <c r="M656" s="1529"/>
      <c r="N656" s="1529"/>
      <c r="O656" s="1529"/>
      <c r="P656" s="1529"/>
      <c r="Q656" s="1529"/>
      <c r="R656" s="1529"/>
      <c r="S656" s="1529"/>
      <c r="T656" s="1529"/>
      <c r="U656" s="1529"/>
      <c r="V656" s="1529"/>
      <c r="W656" s="1529"/>
      <c r="X656" s="1529"/>
      <c r="Y656" s="1529"/>
      <c r="Z656" s="1529"/>
      <c r="AA656" s="1529"/>
      <c r="AB656" s="1529"/>
      <c r="AC656" s="1529"/>
      <c r="AD656" s="1529"/>
      <c r="AE656" s="1529"/>
      <c r="AF656" s="1529"/>
      <c r="AG656" s="1529"/>
    </row>
    <row r="657" spans="1:33" ht="18.75" hidden="1" thickBot="1">
      <c r="A657" s="1530"/>
      <c r="B657" s="1532"/>
      <c r="C657" s="1530"/>
      <c r="D657" s="1410" t="s">
        <v>2693</v>
      </c>
      <c r="E657" s="1528" t="s">
        <v>2129</v>
      </c>
      <c r="F657" s="1528" t="s">
        <v>2129</v>
      </c>
      <c r="G657" s="1528" t="s">
        <v>2129</v>
      </c>
      <c r="H657" s="1528" t="s">
        <v>2129</v>
      </c>
      <c r="I657" s="1528" t="s">
        <v>2129</v>
      </c>
      <c r="J657" s="1528" t="s">
        <v>2129</v>
      </c>
      <c r="K657" s="1528" t="s">
        <v>2129</v>
      </c>
      <c r="L657" s="1528" t="s">
        <v>2166</v>
      </c>
      <c r="M657" s="1528">
        <v>796</v>
      </c>
      <c r="N657" s="1528">
        <v>800</v>
      </c>
      <c r="O657" s="1528">
        <v>800</v>
      </c>
      <c r="P657" s="1528"/>
      <c r="Q657" s="1528"/>
      <c r="R657" s="1528"/>
      <c r="S657" s="1528" t="s">
        <v>2129</v>
      </c>
      <c r="T657" s="1528" t="s">
        <v>2129</v>
      </c>
      <c r="U657" s="1528" t="s">
        <v>2129</v>
      </c>
      <c r="V657" s="1528" t="s">
        <v>2129</v>
      </c>
      <c r="W657" s="1528" t="s">
        <v>2129</v>
      </c>
      <c r="X657" s="1528" t="s">
        <v>2129</v>
      </c>
      <c r="Y657" s="1528" t="s">
        <v>2129</v>
      </c>
      <c r="Z657" s="1528" t="s">
        <v>2129</v>
      </c>
      <c r="AA657" s="1528" t="s">
        <v>2129</v>
      </c>
      <c r="AB657" s="1528" t="s">
        <v>2129</v>
      </c>
      <c r="AC657" s="1528" t="s">
        <v>2129</v>
      </c>
      <c r="AD657" s="1528" t="s">
        <v>2129</v>
      </c>
      <c r="AE657" s="1528" t="s">
        <v>2129</v>
      </c>
      <c r="AF657" s="1528" t="s">
        <v>2129</v>
      </c>
      <c r="AG657" s="1528" t="s">
        <v>2129</v>
      </c>
    </row>
    <row r="658" spans="1:33" ht="60" hidden="1" thickBot="1">
      <c r="A658" s="1529"/>
      <c r="B658" s="1533"/>
      <c r="C658" s="1529"/>
      <c r="D658" s="1409" t="s">
        <v>2694</v>
      </c>
      <c r="E658" s="1529"/>
      <c r="F658" s="1529"/>
      <c r="G658" s="1529"/>
      <c r="H658" s="1529"/>
      <c r="I658" s="1529"/>
      <c r="J658" s="1529"/>
      <c r="K658" s="1529"/>
      <c r="L658" s="1529"/>
      <c r="M658" s="1529"/>
      <c r="N658" s="1529"/>
      <c r="O658" s="1529"/>
      <c r="P658" s="1529"/>
      <c r="Q658" s="1529"/>
      <c r="R658" s="1529"/>
      <c r="S658" s="1529"/>
      <c r="T658" s="1529"/>
      <c r="U658" s="1529"/>
      <c r="V658" s="1529"/>
      <c r="W658" s="1529"/>
      <c r="X658" s="1529"/>
      <c r="Y658" s="1529"/>
      <c r="Z658" s="1529"/>
      <c r="AA658" s="1529"/>
      <c r="AB658" s="1529"/>
      <c r="AC658" s="1529"/>
      <c r="AD658" s="1529"/>
      <c r="AE658" s="1529"/>
      <c r="AF658" s="1529"/>
      <c r="AG658" s="1529"/>
    </row>
    <row r="659" spans="1:33" ht="23.25" hidden="1" customHeight="1" thickBot="1">
      <c r="A659" s="1528">
        <v>80</v>
      </c>
      <c r="B659" s="1531">
        <v>1.7224300000000002E+35</v>
      </c>
      <c r="C659" s="1528" t="s">
        <v>2695</v>
      </c>
      <c r="D659" s="1528" t="s">
        <v>2696</v>
      </c>
      <c r="E659" s="1528">
        <v>11130.42</v>
      </c>
      <c r="F659" s="1528"/>
      <c r="G659" s="1528">
        <v>11130.42</v>
      </c>
      <c r="H659" s="1528">
        <v>11130.42</v>
      </c>
      <c r="I659" s="1528">
        <v>0</v>
      </c>
      <c r="J659" s="1528">
        <v>0</v>
      </c>
      <c r="K659" s="1528">
        <v>0</v>
      </c>
      <c r="L659" s="1528" t="s">
        <v>2129</v>
      </c>
      <c r="M659" s="1528" t="s">
        <v>2129</v>
      </c>
      <c r="N659" s="1528" t="s">
        <v>2129</v>
      </c>
      <c r="O659" s="1528" t="s">
        <v>2129</v>
      </c>
      <c r="P659" s="1528" t="s">
        <v>2129</v>
      </c>
      <c r="Q659" s="1528" t="s">
        <v>2129</v>
      </c>
      <c r="R659" s="1528" t="s">
        <v>2129</v>
      </c>
      <c r="S659" s="1410" t="s">
        <v>2169</v>
      </c>
      <c r="T659" s="1528">
        <v>111.3</v>
      </c>
      <c r="U659" s="1528">
        <v>1172.03</v>
      </c>
      <c r="V659" s="1528">
        <v>5.2016999999999998</v>
      </c>
      <c r="W659" s="1528">
        <v>12.201700000000001</v>
      </c>
      <c r="X659" s="1528" t="s">
        <v>2281</v>
      </c>
      <c r="Y659" s="1528" t="s">
        <v>2282</v>
      </c>
      <c r="Z659" s="1528" t="s">
        <v>2132</v>
      </c>
      <c r="AA659" s="1528" t="s">
        <v>2346</v>
      </c>
      <c r="AB659" s="1528"/>
      <c r="AC659" s="1528"/>
      <c r="AD659" s="1528" t="s">
        <v>2609</v>
      </c>
      <c r="AE659" s="1410" t="s">
        <v>2134</v>
      </c>
      <c r="AF659" s="1528"/>
      <c r="AG659" s="1528" t="s">
        <v>2283</v>
      </c>
    </row>
    <row r="660" spans="1:33" ht="84.75" hidden="1" thickBot="1">
      <c r="A660" s="1530"/>
      <c r="B660" s="1532"/>
      <c r="C660" s="1530"/>
      <c r="D660" s="1530"/>
      <c r="E660" s="1530"/>
      <c r="F660" s="1530"/>
      <c r="G660" s="1530"/>
      <c r="H660" s="1530"/>
      <c r="I660" s="1530"/>
      <c r="J660" s="1530"/>
      <c r="K660" s="1530"/>
      <c r="L660" s="1530"/>
      <c r="M660" s="1530"/>
      <c r="N660" s="1530"/>
      <c r="O660" s="1530"/>
      <c r="P660" s="1530"/>
      <c r="Q660" s="1530"/>
      <c r="R660" s="1530"/>
      <c r="S660" s="1410" t="s">
        <v>2325</v>
      </c>
      <c r="T660" s="1530"/>
      <c r="U660" s="1530"/>
      <c r="V660" s="1530"/>
      <c r="W660" s="1530"/>
      <c r="X660" s="1530"/>
      <c r="Y660" s="1530"/>
      <c r="Z660" s="1530"/>
      <c r="AA660" s="1530"/>
      <c r="AB660" s="1530"/>
      <c r="AC660" s="1530"/>
      <c r="AD660" s="1530"/>
      <c r="AE660" s="1410" t="s">
        <v>2136</v>
      </c>
      <c r="AF660" s="1530"/>
      <c r="AG660" s="1530"/>
    </row>
    <row r="661" spans="1:33" ht="15.75" hidden="1" thickBot="1">
      <c r="A661" s="1530"/>
      <c r="B661" s="1532"/>
      <c r="C661" s="1530"/>
      <c r="D661" s="1529"/>
      <c r="E661" s="1529"/>
      <c r="F661" s="1529"/>
      <c r="G661" s="1529"/>
      <c r="H661" s="1529"/>
      <c r="I661" s="1529"/>
      <c r="J661" s="1529"/>
      <c r="K661" s="1529"/>
      <c r="L661" s="1529"/>
      <c r="M661" s="1529"/>
      <c r="N661" s="1529"/>
      <c r="O661" s="1529"/>
      <c r="P661" s="1529"/>
      <c r="Q661" s="1529"/>
      <c r="R661" s="1529"/>
      <c r="S661" s="1409"/>
      <c r="T661" s="1529"/>
      <c r="U661" s="1529"/>
      <c r="V661" s="1529"/>
      <c r="W661" s="1529"/>
      <c r="X661" s="1529"/>
      <c r="Y661" s="1529"/>
      <c r="Z661" s="1529"/>
      <c r="AA661" s="1529"/>
      <c r="AB661" s="1529"/>
      <c r="AC661" s="1529"/>
      <c r="AD661" s="1529"/>
      <c r="AE661" s="1409"/>
      <c r="AF661" s="1529"/>
      <c r="AG661" s="1529"/>
    </row>
    <row r="662" spans="1:33" ht="15.75" hidden="1" thickBot="1">
      <c r="A662" s="1530"/>
      <c r="B662" s="1532"/>
      <c r="C662" s="1530"/>
      <c r="D662" s="1410" t="s">
        <v>2697</v>
      </c>
      <c r="E662" s="1528" t="s">
        <v>2129</v>
      </c>
      <c r="F662" s="1528" t="s">
        <v>2129</v>
      </c>
      <c r="G662" s="1528" t="s">
        <v>2129</v>
      </c>
      <c r="H662" s="1528" t="s">
        <v>2129</v>
      </c>
      <c r="I662" s="1528" t="s">
        <v>2129</v>
      </c>
      <c r="J662" s="1528" t="s">
        <v>2129</v>
      </c>
      <c r="K662" s="1528" t="s">
        <v>2129</v>
      </c>
      <c r="L662" s="1528" t="s">
        <v>2286</v>
      </c>
      <c r="M662" s="1528">
        <v>166</v>
      </c>
      <c r="N662" s="1528">
        <v>1</v>
      </c>
      <c r="O662" s="1528">
        <v>1</v>
      </c>
      <c r="P662" s="1528"/>
      <c r="Q662" s="1528"/>
      <c r="R662" s="1528"/>
      <c r="S662" s="1528" t="s">
        <v>2129</v>
      </c>
      <c r="T662" s="1528" t="s">
        <v>2129</v>
      </c>
      <c r="U662" s="1528" t="s">
        <v>2129</v>
      </c>
      <c r="V662" s="1528" t="s">
        <v>2129</v>
      </c>
      <c r="W662" s="1528" t="s">
        <v>2129</v>
      </c>
      <c r="X662" s="1528" t="s">
        <v>2129</v>
      </c>
      <c r="Y662" s="1528" t="s">
        <v>2129</v>
      </c>
      <c r="Z662" s="1528" t="s">
        <v>2129</v>
      </c>
      <c r="AA662" s="1528" t="s">
        <v>2129</v>
      </c>
      <c r="AB662" s="1528" t="s">
        <v>2129</v>
      </c>
      <c r="AC662" s="1528" t="s">
        <v>2129</v>
      </c>
      <c r="AD662" s="1528" t="s">
        <v>2129</v>
      </c>
      <c r="AE662" s="1528" t="s">
        <v>2129</v>
      </c>
      <c r="AF662" s="1528" t="s">
        <v>2129</v>
      </c>
      <c r="AG662" s="1528" t="s">
        <v>2129</v>
      </c>
    </row>
    <row r="663" spans="1:33" ht="68.25" hidden="1" thickBot="1">
      <c r="A663" s="1530"/>
      <c r="B663" s="1532"/>
      <c r="C663" s="1530"/>
      <c r="D663" s="1409" t="s">
        <v>2322</v>
      </c>
      <c r="E663" s="1529"/>
      <c r="F663" s="1529"/>
      <c r="G663" s="1529"/>
      <c r="H663" s="1529"/>
      <c r="I663" s="1529"/>
      <c r="J663" s="1529"/>
      <c r="K663" s="1529"/>
      <c r="L663" s="1529"/>
      <c r="M663" s="1529"/>
      <c r="N663" s="1529"/>
      <c r="O663" s="1529"/>
      <c r="P663" s="1529"/>
      <c r="Q663" s="1529"/>
      <c r="R663" s="1529"/>
      <c r="S663" s="1529"/>
      <c r="T663" s="1529"/>
      <c r="U663" s="1529"/>
      <c r="V663" s="1529"/>
      <c r="W663" s="1529"/>
      <c r="X663" s="1529"/>
      <c r="Y663" s="1529"/>
      <c r="Z663" s="1529"/>
      <c r="AA663" s="1529"/>
      <c r="AB663" s="1529"/>
      <c r="AC663" s="1529"/>
      <c r="AD663" s="1529"/>
      <c r="AE663" s="1529"/>
      <c r="AF663" s="1529"/>
      <c r="AG663" s="1529"/>
    </row>
    <row r="664" spans="1:33" ht="15.75" hidden="1" thickBot="1">
      <c r="A664" s="1530"/>
      <c r="B664" s="1532"/>
      <c r="C664" s="1530"/>
      <c r="D664" s="1410" t="s">
        <v>2698</v>
      </c>
      <c r="E664" s="1528" t="s">
        <v>2129</v>
      </c>
      <c r="F664" s="1528" t="s">
        <v>2129</v>
      </c>
      <c r="G664" s="1528" t="s">
        <v>2129</v>
      </c>
      <c r="H664" s="1528" t="s">
        <v>2129</v>
      </c>
      <c r="I664" s="1528" t="s">
        <v>2129</v>
      </c>
      <c r="J664" s="1528" t="s">
        <v>2129</v>
      </c>
      <c r="K664" s="1528" t="s">
        <v>2129</v>
      </c>
      <c r="L664" s="1528" t="s">
        <v>2286</v>
      </c>
      <c r="M664" s="1528">
        <v>166</v>
      </c>
      <c r="N664" s="1528">
        <v>249</v>
      </c>
      <c r="O664" s="1528">
        <v>249</v>
      </c>
      <c r="P664" s="1528"/>
      <c r="Q664" s="1528"/>
      <c r="R664" s="1528"/>
      <c r="S664" s="1528" t="s">
        <v>2129</v>
      </c>
      <c r="T664" s="1528" t="s">
        <v>2129</v>
      </c>
      <c r="U664" s="1528" t="s">
        <v>2129</v>
      </c>
      <c r="V664" s="1528" t="s">
        <v>2129</v>
      </c>
      <c r="W664" s="1528" t="s">
        <v>2129</v>
      </c>
      <c r="X664" s="1528" t="s">
        <v>2129</v>
      </c>
      <c r="Y664" s="1528" t="s">
        <v>2129</v>
      </c>
      <c r="Z664" s="1528" t="s">
        <v>2129</v>
      </c>
      <c r="AA664" s="1528" t="s">
        <v>2129</v>
      </c>
      <c r="AB664" s="1528" t="s">
        <v>2129</v>
      </c>
      <c r="AC664" s="1528" t="s">
        <v>2129</v>
      </c>
      <c r="AD664" s="1528" t="s">
        <v>2129</v>
      </c>
      <c r="AE664" s="1528" t="s">
        <v>2129</v>
      </c>
      <c r="AF664" s="1528" t="s">
        <v>2129</v>
      </c>
      <c r="AG664" s="1528" t="s">
        <v>2129</v>
      </c>
    </row>
    <row r="665" spans="1:33" ht="68.25" hidden="1" thickBot="1">
      <c r="A665" s="1529"/>
      <c r="B665" s="1533"/>
      <c r="C665" s="1529"/>
      <c r="D665" s="1409" t="s">
        <v>2322</v>
      </c>
      <c r="E665" s="1529"/>
      <c r="F665" s="1529"/>
      <c r="G665" s="1529"/>
      <c r="H665" s="1529"/>
      <c r="I665" s="1529"/>
      <c r="J665" s="1529"/>
      <c r="K665" s="1529"/>
      <c r="L665" s="1529"/>
      <c r="M665" s="1529"/>
      <c r="N665" s="1529"/>
      <c r="O665" s="1529"/>
      <c r="P665" s="1529"/>
      <c r="Q665" s="1529"/>
      <c r="R665" s="1529"/>
      <c r="S665" s="1529"/>
      <c r="T665" s="1529"/>
      <c r="U665" s="1529"/>
      <c r="V665" s="1529"/>
      <c r="W665" s="1529"/>
      <c r="X665" s="1529"/>
      <c r="Y665" s="1529"/>
      <c r="Z665" s="1529"/>
      <c r="AA665" s="1529"/>
      <c r="AB665" s="1529"/>
      <c r="AC665" s="1529"/>
      <c r="AD665" s="1529"/>
      <c r="AE665" s="1529"/>
      <c r="AF665" s="1529"/>
      <c r="AG665" s="1529"/>
    </row>
    <row r="666" spans="1:33" ht="23.25" hidden="1" customHeight="1" thickBot="1">
      <c r="A666" s="1528">
        <v>81</v>
      </c>
      <c r="B666" s="1531">
        <v>1.7224300000000002E+35</v>
      </c>
      <c r="C666" s="1528" t="s">
        <v>2672</v>
      </c>
      <c r="D666" s="1528" t="s">
        <v>2699</v>
      </c>
      <c r="E666" s="1528">
        <v>4248.28</v>
      </c>
      <c r="F666" s="1528"/>
      <c r="G666" s="1528">
        <v>4248.28</v>
      </c>
      <c r="H666" s="1528">
        <v>4248.28</v>
      </c>
      <c r="I666" s="1528">
        <v>0</v>
      </c>
      <c r="J666" s="1528">
        <v>0</v>
      </c>
      <c r="K666" s="1528">
        <v>0</v>
      </c>
      <c r="L666" s="1528" t="s">
        <v>2129</v>
      </c>
      <c r="M666" s="1528" t="s">
        <v>2129</v>
      </c>
      <c r="N666" s="1528" t="s">
        <v>2129</v>
      </c>
      <c r="O666" s="1528" t="s">
        <v>2129</v>
      </c>
      <c r="P666" s="1528" t="s">
        <v>2129</v>
      </c>
      <c r="Q666" s="1528" t="s">
        <v>2129</v>
      </c>
      <c r="R666" s="1528" t="s">
        <v>2129</v>
      </c>
      <c r="S666" s="1410" t="s">
        <v>2169</v>
      </c>
      <c r="T666" s="1528">
        <v>42.48</v>
      </c>
      <c r="U666" s="1528">
        <v>322.02</v>
      </c>
      <c r="V666" s="1528">
        <v>5.2016999999999998</v>
      </c>
      <c r="W666" s="1528">
        <v>12.201700000000001</v>
      </c>
      <c r="X666" s="1528" t="s">
        <v>2281</v>
      </c>
      <c r="Y666" s="1528" t="s">
        <v>2132</v>
      </c>
      <c r="Z666" s="1528" t="s">
        <v>2282</v>
      </c>
      <c r="AA666" s="1528" t="s">
        <v>2346</v>
      </c>
      <c r="AB666" s="1528"/>
      <c r="AC666" s="1528"/>
      <c r="AD666" s="1528" t="s">
        <v>2609</v>
      </c>
      <c r="AE666" s="1410" t="s">
        <v>2134</v>
      </c>
      <c r="AF666" s="1528"/>
      <c r="AG666" s="1528" t="s">
        <v>2283</v>
      </c>
    </row>
    <row r="667" spans="1:33" ht="93" hidden="1" thickBot="1">
      <c r="A667" s="1530"/>
      <c r="B667" s="1532"/>
      <c r="C667" s="1530"/>
      <c r="D667" s="1530"/>
      <c r="E667" s="1530"/>
      <c r="F667" s="1530"/>
      <c r="G667" s="1530"/>
      <c r="H667" s="1530"/>
      <c r="I667" s="1530"/>
      <c r="J667" s="1530"/>
      <c r="K667" s="1530"/>
      <c r="L667" s="1530"/>
      <c r="M667" s="1530"/>
      <c r="N667" s="1530"/>
      <c r="O667" s="1530"/>
      <c r="P667" s="1530"/>
      <c r="Q667" s="1530"/>
      <c r="R667" s="1530"/>
      <c r="S667" s="1410" t="s">
        <v>2700</v>
      </c>
      <c r="T667" s="1530"/>
      <c r="U667" s="1530"/>
      <c r="V667" s="1530"/>
      <c r="W667" s="1530"/>
      <c r="X667" s="1530"/>
      <c r="Y667" s="1530"/>
      <c r="Z667" s="1530"/>
      <c r="AA667" s="1530"/>
      <c r="AB667" s="1530"/>
      <c r="AC667" s="1530"/>
      <c r="AD667" s="1530"/>
      <c r="AE667" s="1410" t="s">
        <v>2136</v>
      </c>
      <c r="AF667" s="1530"/>
      <c r="AG667" s="1530"/>
    </row>
    <row r="668" spans="1:33" ht="15.75" hidden="1" thickBot="1">
      <c r="A668" s="1530"/>
      <c r="B668" s="1532"/>
      <c r="C668" s="1530"/>
      <c r="D668" s="1529"/>
      <c r="E668" s="1529"/>
      <c r="F668" s="1529"/>
      <c r="G668" s="1529"/>
      <c r="H668" s="1529"/>
      <c r="I668" s="1529"/>
      <c r="J668" s="1529"/>
      <c r="K668" s="1529"/>
      <c r="L668" s="1529"/>
      <c r="M668" s="1529"/>
      <c r="N668" s="1529"/>
      <c r="O668" s="1529"/>
      <c r="P668" s="1529"/>
      <c r="Q668" s="1529"/>
      <c r="R668" s="1529"/>
      <c r="S668" s="1409"/>
      <c r="T668" s="1529"/>
      <c r="U668" s="1529"/>
      <c r="V668" s="1529"/>
      <c r="W668" s="1529"/>
      <c r="X668" s="1529"/>
      <c r="Y668" s="1529"/>
      <c r="Z668" s="1529"/>
      <c r="AA668" s="1529"/>
      <c r="AB668" s="1529"/>
      <c r="AC668" s="1529"/>
      <c r="AD668" s="1529"/>
      <c r="AE668" s="1409"/>
      <c r="AF668" s="1529"/>
      <c r="AG668" s="1529"/>
    </row>
    <row r="669" spans="1:33" ht="35.25" hidden="1" thickBot="1">
      <c r="A669" s="1530"/>
      <c r="B669" s="1532"/>
      <c r="C669" s="1530"/>
      <c r="D669" s="1410" t="s">
        <v>2701</v>
      </c>
      <c r="E669" s="1528" t="s">
        <v>2129</v>
      </c>
      <c r="F669" s="1528" t="s">
        <v>2129</v>
      </c>
      <c r="G669" s="1528" t="s">
        <v>2129</v>
      </c>
      <c r="H669" s="1528" t="s">
        <v>2129</v>
      </c>
      <c r="I669" s="1528" t="s">
        <v>2129</v>
      </c>
      <c r="J669" s="1528" t="s">
        <v>2129</v>
      </c>
      <c r="K669" s="1528" t="s">
        <v>2129</v>
      </c>
      <c r="L669" s="1528" t="s">
        <v>2286</v>
      </c>
      <c r="M669" s="1528">
        <v>166</v>
      </c>
      <c r="N669" s="1528">
        <v>12</v>
      </c>
      <c r="O669" s="1528">
        <v>12</v>
      </c>
      <c r="P669" s="1528"/>
      <c r="Q669" s="1528"/>
      <c r="R669" s="1528"/>
      <c r="S669" s="1528" t="s">
        <v>2129</v>
      </c>
      <c r="T669" s="1528" t="s">
        <v>2129</v>
      </c>
      <c r="U669" s="1528" t="s">
        <v>2129</v>
      </c>
      <c r="V669" s="1528" t="s">
        <v>2129</v>
      </c>
      <c r="W669" s="1528" t="s">
        <v>2129</v>
      </c>
      <c r="X669" s="1528" t="s">
        <v>2129</v>
      </c>
      <c r="Y669" s="1528" t="s">
        <v>2129</v>
      </c>
      <c r="Z669" s="1528" t="s">
        <v>2129</v>
      </c>
      <c r="AA669" s="1528" t="s">
        <v>2129</v>
      </c>
      <c r="AB669" s="1528" t="s">
        <v>2129</v>
      </c>
      <c r="AC669" s="1528" t="s">
        <v>2129</v>
      </c>
      <c r="AD669" s="1528" t="s">
        <v>2129</v>
      </c>
      <c r="AE669" s="1528" t="s">
        <v>2129</v>
      </c>
      <c r="AF669" s="1528" t="s">
        <v>2129</v>
      </c>
      <c r="AG669" s="1528" t="s">
        <v>2129</v>
      </c>
    </row>
    <row r="670" spans="1:33" ht="76.5" hidden="1" thickBot="1">
      <c r="A670" s="1530"/>
      <c r="B670" s="1532"/>
      <c r="C670" s="1530"/>
      <c r="D670" s="1409" t="s">
        <v>2702</v>
      </c>
      <c r="E670" s="1529"/>
      <c r="F670" s="1529"/>
      <c r="G670" s="1529"/>
      <c r="H670" s="1529"/>
      <c r="I670" s="1529"/>
      <c r="J670" s="1529"/>
      <c r="K670" s="1529"/>
      <c r="L670" s="1529"/>
      <c r="M670" s="1529"/>
      <c r="N670" s="1529"/>
      <c r="O670" s="1529"/>
      <c r="P670" s="1529"/>
      <c r="Q670" s="1529"/>
      <c r="R670" s="1529"/>
      <c r="S670" s="1529"/>
      <c r="T670" s="1529"/>
      <c r="U670" s="1529"/>
      <c r="V670" s="1529"/>
      <c r="W670" s="1529"/>
      <c r="X670" s="1529"/>
      <c r="Y670" s="1529"/>
      <c r="Z670" s="1529"/>
      <c r="AA670" s="1529"/>
      <c r="AB670" s="1529"/>
      <c r="AC670" s="1529"/>
      <c r="AD670" s="1529"/>
      <c r="AE670" s="1529"/>
      <c r="AF670" s="1529"/>
      <c r="AG670" s="1529"/>
    </row>
    <row r="671" spans="1:33" ht="35.25" hidden="1" thickBot="1">
      <c r="A671" s="1530"/>
      <c r="B671" s="1532"/>
      <c r="C671" s="1530"/>
      <c r="D671" s="1410" t="s">
        <v>2703</v>
      </c>
      <c r="E671" s="1528" t="s">
        <v>2129</v>
      </c>
      <c r="F671" s="1528" t="s">
        <v>2129</v>
      </c>
      <c r="G671" s="1528" t="s">
        <v>2129</v>
      </c>
      <c r="H671" s="1528" t="s">
        <v>2129</v>
      </c>
      <c r="I671" s="1528" t="s">
        <v>2129</v>
      </c>
      <c r="J671" s="1528" t="s">
        <v>2129</v>
      </c>
      <c r="K671" s="1528" t="s">
        <v>2129</v>
      </c>
      <c r="L671" s="1528" t="s">
        <v>2286</v>
      </c>
      <c r="M671" s="1528">
        <v>166</v>
      </c>
      <c r="N671" s="1528">
        <v>12</v>
      </c>
      <c r="O671" s="1528">
        <v>12</v>
      </c>
      <c r="P671" s="1528"/>
      <c r="Q671" s="1528"/>
      <c r="R671" s="1528"/>
      <c r="S671" s="1528" t="s">
        <v>2129</v>
      </c>
      <c r="T671" s="1528" t="s">
        <v>2129</v>
      </c>
      <c r="U671" s="1528" t="s">
        <v>2129</v>
      </c>
      <c r="V671" s="1528" t="s">
        <v>2129</v>
      </c>
      <c r="W671" s="1528" t="s">
        <v>2129</v>
      </c>
      <c r="X671" s="1528" t="s">
        <v>2129</v>
      </c>
      <c r="Y671" s="1528" t="s">
        <v>2129</v>
      </c>
      <c r="Z671" s="1528" t="s">
        <v>2129</v>
      </c>
      <c r="AA671" s="1528" t="s">
        <v>2129</v>
      </c>
      <c r="AB671" s="1528" t="s">
        <v>2129</v>
      </c>
      <c r="AC671" s="1528" t="s">
        <v>2129</v>
      </c>
      <c r="AD671" s="1528" t="s">
        <v>2129</v>
      </c>
      <c r="AE671" s="1528" t="s">
        <v>2129</v>
      </c>
      <c r="AF671" s="1528" t="s">
        <v>2129</v>
      </c>
      <c r="AG671" s="1528" t="s">
        <v>2129</v>
      </c>
    </row>
    <row r="672" spans="1:33" ht="76.5" hidden="1" thickBot="1">
      <c r="A672" s="1530"/>
      <c r="B672" s="1532"/>
      <c r="C672" s="1530"/>
      <c r="D672" s="1409" t="s">
        <v>2702</v>
      </c>
      <c r="E672" s="1529"/>
      <c r="F672" s="1529"/>
      <c r="G672" s="1529"/>
      <c r="H672" s="1529"/>
      <c r="I672" s="1529"/>
      <c r="J672" s="1529"/>
      <c r="K672" s="1529"/>
      <c r="L672" s="1529"/>
      <c r="M672" s="1529"/>
      <c r="N672" s="1529"/>
      <c r="O672" s="1529"/>
      <c r="P672" s="1529"/>
      <c r="Q672" s="1529"/>
      <c r="R672" s="1529"/>
      <c r="S672" s="1529"/>
      <c r="T672" s="1529"/>
      <c r="U672" s="1529"/>
      <c r="V672" s="1529"/>
      <c r="W672" s="1529"/>
      <c r="X672" s="1529"/>
      <c r="Y672" s="1529"/>
      <c r="Z672" s="1529"/>
      <c r="AA672" s="1529"/>
      <c r="AB672" s="1529"/>
      <c r="AC672" s="1529"/>
      <c r="AD672" s="1529"/>
      <c r="AE672" s="1529"/>
      <c r="AF672" s="1529"/>
      <c r="AG672" s="1529"/>
    </row>
    <row r="673" spans="1:33" ht="18.75" hidden="1" thickBot="1">
      <c r="A673" s="1530"/>
      <c r="B673" s="1532"/>
      <c r="C673" s="1530"/>
      <c r="D673" s="1410" t="s">
        <v>2704</v>
      </c>
      <c r="E673" s="1528" t="s">
        <v>2129</v>
      </c>
      <c r="F673" s="1528" t="s">
        <v>2129</v>
      </c>
      <c r="G673" s="1528" t="s">
        <v>2129</v>
      </c>
      <c r="H673" s="1528" t="s">
        <v>2129</v>
      </c>
      <c r="I673" s="1528" t="s">
        <v>2129</v>
      </c>
      <c r="J673" s="1528" t="s">
        <v>2129</v>
      </c>
      <c r="K673" s="1528" t="s">
        <v>2129</v>
      </c>
      <c r="L673" s="1528" t="s">
        <v>2286</v>
      </c>
      <c r="M673" s="1528">
        <v>166</v>
      </c>
      <c r="N673" s="1528">
        <v>20</v>
      </c>
      <c r="O673" s="1528">
        <v>20</v>
      </c>
      <c r="P673" s="1528"/>
      <c r="Q673" s="1528"/>
      <c r="R673" s="1528"/>
      <c r="S673" s="1528" t="s">
        <v>2129</v>
      </c>
      <c r="T673" s="1528" t="s">
        <v>2129</v>
      </c>
      <c r="U673" s="1528" t="s">
        <v>2129</v>
      </c>
      <c r="V673" s="1528" t="s">
        <v>2129</v>
      </c>
      <c r="W673" s="1528" t="s">
        <v>2129</v>
      </c>
      <c r="X673" s="1528" t="s">
        <v>2129</v>
      </c>
      <c r="Y673" s="1528" t="s">
        <v>2129</v>
      </c>
      <c r="Z673" s="1528" t="s">
        <v>2129</v>
      </c>
      <c r="AA673" s="1528" t="s">
        <v>2129</v>
      </c>
      <c r="AB673" s="1528" t="s">
        <v>2129</v>
      </c>
      <c r="AC673" s="1528" t="s">
        <v>2129</v>
      </c>
      <c r="AD673" s="1528" t="s">
        <v>2129</v>
      </c>
      <c r="AE673" s="1528" t="s">
        <v>2129</v>
      </c>
      <c r="AF673" s="1528" t="s">
        <v>2129</v>
      </c>
      <c r="AG673" s="1528" t="s">
        <v>2129</v>
      </c>
    </row>
    <row r="674" spans="1:33" ht="68.25" hidden="1" thickBot="1">
      <c r="A674" s="1529"/>
      <c r="B674" s="1533"/>
      <c r="C674" s="1529"/>
      <c r="D674" s="1409" t="s">
        <v>2705</v>
      </c>
      <c r="E674" s="1529"/>
      <c r="F674" s="1529"/>
      <c r="G674" s="1529"/>
      <c r="H674" s="1529"/>
      <c r="I674" s="1529"/>
      <c r="J674" s="1529"/>
      <c r="K674" s="1529"/>
      <c r="L674" s="1529"/>
      <c r="M674" s="1529"/>
      <c r="N674" s="1529"/>
      <c r="O674" s="1529"/>
      <c r="P674" s="1529"/>
      <c r="Q674" s="1529"/>
      <c r="R674" s="1529"/>
      <c r="S674" s="1529"/>
      <c r="T674" s="1529"/>
      <c r="U674" s="1529"/>
      <c r="V674" s="1529"/>
      <c r="W674" s="1529"/>
      <c r="X674" s="1529"/>
      <c r="Y674" s="1529"/>
      <c r="Z674" s="1529"/>
      <c r="AA674" s="1529"/>
      <c r="AB674" s="1529"/>
      <c r="AC674" s="1529"/>
      <c r="AD674" s="1529"/>
      <c r="AE674" s="1529"/>
      <c r="AF674" s="1529"/>
      <c r="AG674" s="1529"/>
    </row>
    <row r="675" spans="1:33" ht="23.25" hidden="1" customHeight="1" thickBot="1">
      <c r="A675" s="1528">
        <v>82</v>
      </c>
      <c r="B675" s="1531">
        <v>1.7224300000000002E+35</v>
      </c>
      <c r="C675" s="1528" t="s">
        <v>2616</v>
      </c>
      <c r="D675" s="1528" t="s">
        <v>2706</v>
      </c>
      <c r="E675" s="1528">
        <v>29431.52</v>
      </c>
      <c r="F675" s="1528"/>
      <c r="G675" s="1528">
        <v>29431.52</v>
      </c>
      <c r="H675" s="1528">
        <v>29431.52</v>
      </c>
      <c r="I675" s="1528">
        <v>0</v>
      </c>
      <c r="J675" s="1528">
        <v>0</v>
      </c>
      <c r="K675" s="1528">
        <v>0</v>
      </c>
      <c r="L675" s="1528" t="s">
        <v>2129</v>
      </c>
      <c r="M675" s="1528" t="s">
        <v>2129</v>
      </c>
      <c r="N675" s="1528" t="s">
        <v>2129</v>
      </c>
      <c r="O675" s="1528" t="s">
        <v>2129</v>
      </c>
      <c r="P675" s="1528" t="s">
        <v>2129</v>
      </c>
      <c r="Q675" s="1528" t="s">
        <v>2129</v>
      </c>
      <c r="R675" s="1528" t="s">
        <v>2129</v>
      </c>
      <c r="S675" s="1410" t="s">
        <v>2169</v>
      </c>
      <c r="T675" s="1528">
        <v>294.32</v>
      </c>
      <c r="U675" s="1528">
        <v>2913.72</v>
      </c>
      <c r="V675" s="1528">
        <v>5.2016999999999998</v>
      </c>
      <c r="W675" s="1528">
        <v>12.201700000000001</v>
      </c>
      <c r="X675" s="1528" t="s">
        <v>2281</v>
      </c>
      <c r="Y675" s="1528" t="s">
        <v>2132</v>
      </c>
      <c r="Z675" s="1528" t="s">
        <v>2282</v>
      </c>
      <c r="AA675" s="1528"/>
      <c r="AB675" s="1528"/>
      <c r="AC675" s="1528"/>
      <c r="AD675" s="1528" t="s">
        <v>2609</v>
      </c>
      <c r="AE675" s="1410" t="s">
        <v>2134</v>
      </c>
      <c r="AF675" s="1528"/>
      <c r="AG675" s="1528" t="s">
        <v>2283</v>
      </c>
    </row>
    <row r="676" spans="1:33" ht="93" hidden="1" thickBot="1">
      <c r="A676" s="1530"/>
      <c r="B676" s="1532"/>
      <c r="C676" s="1530"/>
      <c r="D676" s="1529"/>
      <c r="E676" s="1529"/>
      <c r="F676" s="1529"/>
      <c r="G676" s="1529"/>
      <c r="H676" s="1529"/>
      <c r="I676" s="1529"/>
      <c r="J676" s="1529"/>
      <c r="K676" s="1529"/>
      <c r="L676" s="1529"/>
      <c r="M676" s="1529"/>
      <c r="N676" s="1529"/>
      <c r="O676" s="1529"/>
      <c r="P676" s="1529"/>
      <c r="Q676" s="1529"/>
      <c r="R676" s="1529"/>
      <c r="S676" s="1409" t="s">
        <v>2189</v>
      </c>
      <c r="T676" s="1529"/>
      <c r="U676" s="1529"/>
      <c r="V676" s="1529"/>
      <c r="W676" s="1529"/>
      <c r="X676" s="1529"/>
      <c r="Y676" s="1529"/>
      <c r="Z676" s="1529"/>
      <c r="AA676" s="1529"/>
      <c r="AB676" s="1529"/>
      <c r="AC676" s="1529"/>
      <c r="AD676" s="1529"/>
      <c r="AE676" s="1409" t="s">
        <v>2136</v>
      </c>
      <c r="AF676" s="1529"/>
      <c r="AG676" s="1529"/>
    </row>
    <row r="677" spans="1:33" ht="15.75" hidden="1" thickBot="1">
      <c r="A677" s="1530"/>
      <c r="B677" s="1532"/>
      <c r="C677" s="1530"/>
      <c r="D677" s="1410" t="s">
        <v>2707</v>
      </c>
      <c r="E677" s="1528" t="s">
        <v>2129</v>
      </c>
      <c r="F677" s="1528" t="s">
        <v>2129</v>
      </c>
      <c r="G677" s="1528" t="s">
        <v>2129</v>
      </c>
      <c r="H677" s="1528" t="s">
        <v>2129</v>
      </c>
      <c r="I677" s="1528" t="s">
        <v>2129</v>
      </c>
      <c r="J677" s="1528" t="s">
        <v>2129</v>
      </c>
      <c r="K677" s="1528" t="s">
        <v>2129</v>
      </c>
      <c r="L677" s="1528" t="s">
        <v>2286</v>
      </c>
      <c r="M677" s="1528">
        <v>166</v>
      </c>
      <c r="N677" s="1528">
        <v>20</v>
      </c>
      <c r="O677" s="1528">
        <v>20</v>
      </c>
      <c r="P677" s="1528"/>
      <c r="Q677" s="1528"/>
      <c r="R677" s="1528"/>
      <c r="S677" s="1528" t="s">
        <v>2129</v>
      </c>
      <c r="T677" s="1528" t="s">
        <v>2129</v>
      </c>
      <c r="U677" s="1528" t="s">
        <v>2129</v>
      </c>
      <c r="V677" s="1528" t="s">
        <v>2129</v>
      </c>
      <c r="W677" s="1528" t="s">
        <v>2129</v>
      </c>
      <c r="X677" s="1528" t="s">
        <v>2129</v>
      </c>
      <c r="Y677" s="1528" t="s">
        <v>2129</v>
      </c>
      <c r="Z677" s="1528" t="s">
        <v>2129</v>
      </c>
      <c r="AA677" s="1528" t="s">
        <v>2129</v>
      </c>
      <c r="AB677" s="1528" t="s">
        <v>2129</v>
      </c>
      <c r="AC677" s="1528" t="s">
        <v>2129</v>
      </c>
      <c r="AD677" s="1528" t="s">
        <v>2129</v>
      </c>
      <c r="AE677" s="1528" t="s">
        <v>2129</v>
      </c>
      <c r="AF677" s="1528" t="s">
        <v>2129</v>
      </c>
      <c r="AG677" s="1528" t="s">
        <v>2129</v>
      </c>
    </row>
    <row r="678" spans="1:33" ht="93" hidden="1" thickBot="1">
      <c r="A678" s="1530"/>
      <c r="B678" s="1532"/>
      <c r="C678" s="1530"/>
      <c r="D678" s="1409" t="s">
        <v>2708</v>
      </c>
      <c r="E678" s="1529"/>
      <c r="F678" s="1529"/>
      <c r="G678" s="1529"/>
      <c r="H678" s="1529"/>
      <c r="I678" s="1529"/>
      <c r="J678" s="1529"/>
      <c r="K678" s="1529"/>
      <c r="L678" s="1529"/>
      <c r="M678" s="1529"/>
      <c r="N678" s="1529"/>
      <c r="O678" s="1529"/>
      <c r="P678" s="1529"/>
      <c r="Q678" s="1529"/>
      <c r="R678" s="1529"/>
      <c r="S678" s="1529"/>
      <c r="T678" s="1529"/>
      <c r="U678" s="1529"/>
      <c r="V678" s="1529"/>
      <c r="W678" s="1529"/>
      <c r="X678" s="1529"/>
      <c r="Y678" s="1529"/>
      <c r="Z678" s="1529"/>
      <c r="AA678" s="1529"/>
      <c r="AB678" s="1529"/>
      <c r="AC678" s="1529"/>
      <c r="AD678" s="1529"/>
      <c r="AE678" s="1529"/>
      <c r="AF678" s="1529"/>
      <c r="AG678" s="1529"/>
    </row>
    <row r="679" spans="1:33" ht="15.75" hidden="1" thickBot="1">
      <c r="A679" s="1530"/>
      <c r="B679" s="1532"/>
      <c r="C679" s="1530"/>
      <c r="D679" s="1410" t="s">
        <v>2709</v>
      </c>
      <c r="E679" s="1528" t="s">
        <v>2129</v>
      </c>
      <c r="F679" s="1528" t="s">
        <v>2129</v>
      </c>
      <c r="G679" s="1528" t="s">
        <v>2129</v>
      </c>
      <c r="H679" s="1528" t="s">
        <v>2129</v>
      </c>
      <c r="I679" s="1528" t="s">
        <v>2129</v>
      </c>
      <c r="J679" s="1528" t="s">
        <v>2129</v>
      </c>
      <c r="K679" s="1528" t="s">
        <v>2129</v>
      </c>
      <c r="L679" s="1528" t="s">
        <v>2286</v>
      </c>
      <c r="M679" s="1528">
        <v>166</v>
      </c>
      <c r="N679" s="1528">
        <v>28.2</v>
      </c>
      <c r="O679" s="1528">
        <v>28.2</v>
      </c>
      <c r="P679" s="1528"/>
      <c r="Q679" s="1528"/>
      <c r="R679" s="1528"/>
      <c r="S679" s="1528" t="s">
        <v>2129</v>
      </c>
      <c r="T679" s="1528" t="s">
        <v>2129</v>
      </c>
      <c r="U679" s="1528" t="s">
        <v>2129</v>
      </c>
      <c r="V679" s="1528" t="s">
        <v>2129</v>
      </c>
      <c r="W679" s="1528" t="s">
        <v>2129</v>
      </c>
      <c r="X679" s="1528" t="s">
        <v>2129</v>
      </c>
      <c r="Y679" s="1528" t="s">
        <v>2129</v>
      </c>
      <c r="Z679" s="1528" t="s">
        <v>2129</v>
      </c>
      <c r="AA679" s="1528" t="s">
        <v>2129</v>
      </c>
      <c r="AB679" s="1528" t="s">
        <v>2129</v>
      </c>
      <c r="AC679" s="1528" t="s">
        <v>2129</v>
      </c>
      <c r="AD679" s="1528" t="s">
        <v>2129</v>
      </c>
      <c r="AE679" s="1528" t="s">
        <v>2129</v>
      </c>
      <c r="AF679" s="1528" t="s">
        <v>2129</v>
      </c>
      <c r="AG679" s="1528" t="s">
        <v>2129</v>
      </c>
    </row>
    <row r="680" spans="1:33" ht="76.5" hidden="1" thickBot="1">
      <c r="A680" s="1530"/>
      <c r="B680" s="1532"/>
      <c r="C680" s="1530"/>
      <c r="D680" s="1409" t="s">
        <v>2710</v>
      </c>
      <c r="E680" s="1529"/>
      <c r="F680" s="1529"/>
      <c r="G680" s="1529"/>
      <c r="H680" s="1529"/>
      <c r="I680" s="1529"/>
      <c r="J680" s="1529"/>
      <c r="K680" s="1529"/>
      <c r="L680" s="1529"/>
      <c r="M680" s="1529"/>
      <c r="N680" s="1529"/>
      <c r="O680" s="1529"/>
      <c r="P680" s="1529"/>
      <c r="Q680" s="1529"/>
      <c r="R680" s="1529"/>
      <c r="S680" s="1529"/>
      <c r="T680" s="1529"/>
      <c r="U680" s="1529"/>
      <c r="V680" s="1529"/>
      <c r="W680" s="1529"/>
      <c r="X680" s="1529"/>
      <c r="Y680" s="1529"/>
      <c r="Z680" s="1529"/>
      <c r="AA680" s="1529"/>
      <c r="AB680" s="1529"/>
      <c r="AC680" s="1529"/>
      <c r="AD680" s="1529"/>
      <c r="AE680" s="1529"/>
      <c r="AF680" s="1529"/>
      <c r="AG680" s="1529"/>
    </row>
    <row r="681" spans="1:33" ht="27" hidden="1" thickBot="1">
      <c r="A681" s="1530"/>
      <c r="B681" s="1532"/>
      <c r="C681" s="1530"/>
      <c r="D681" s="1410" t="s">
        <v>2711</v>
      </c>
      <c r="E681" s="1528" t="s">
        <v>2129</v>
      </c>
      <c r="F681" s="1528" t="s">
        <v>2129</v>
      </c>
      <c r="G681" s="1528" t="s">
        <v>2129</v>
      </c>
      <c r="H681" s="1528" t="s">
        <v>2129</v>
      </c>
      <c r="I681" s="1528" t="s">
        <v>2129</v>
      </c>
      <c r="J681" s="1528" t="s">
        <v>2129</v>
      </c>
      <c r="K681" s="1528" t="s">
        <v>2129</v>
      </c>
      <c r="L681" s="1528" t="s">
        <v>2286</v>
      </c>
      <c r="M681" s="1528">
        <v>166</v>
      </c>
      <c r="N681" s="1528">
        <v>11</v>
      </c>
      <c r="O681" s="1528">
        <v>11</v>
      </c>
      <c r="P681" s="1528"/>
      <c r="Q681" s="1528"/>
      <c r="R681" s="1528"/>
      <c r="S681" s="1528" t="s">
        <v>2129</v>
      </c>
      <c r="T681" s="1528" t="s">
        <v>2129</v>
      </c>
      <c r="U681" s="1528" t="s">
        <v>2129</v>
      </c>
      <c r="V681" s="1528" t="s">
        <v>2129</v>
      </c>
      <c r="W681" s="1528" t="s">
        <v>2129</v>
      </c>
      <c r="X681" s="1528" t="s">
        <v>2129</v>
      </c>
      <c r="Y681" s="1528" t="s">
        <v>2129</v>
      </c>
      <c r="Z681" s="1528" t="s">
        <v>2129</v>
      </c>
      <c r="AA681" s="1528" t="s">
        <v>2129</v>
      </c>
      <c r="AB681" s="1528" t="s">
        <v>2129</v>
      </c>
      <c r="AC681" s="1528" t="s">
        <v>2129</v>
      </c>
      <c r="AD681" s="1528" t="s">
        <v>2129</v>
      </c>
      <c r="AE681" s="1528" t="s">
        <v>2129</v>
      </c>
      <c r="AF681" s="1528" t="s">
        <v>2129</v>
      </c>
      <c r="AG681" s="1528" t="s">
        <v>2129</v>
      </c>
    </row>
    <row r="682" spans="1:33" ht="84.75" hidden="1" thickBot="1">
      <c r="A682" s="1530"/>
      <c r="B682" s="1532"/>
      <c r="C682" s="1530"/>
      <c r="D682" s="1409" t="s">
        <v>2712</v>
      </c>
      <c r="E682" s="1529"/>
      <c r="F682" s="1529"/>
      <c r="G682" s="1529"/>
      <c r="H682" s="1529"/>
      <c r="I682" s="1529"/>
      <c r="J682" s="1529"/>
      <c r="K682" s="1529"/>
      <c r="L682" s="1529"/>
      <c r="M682" s="1529"/>
      <c r="N682" s="1529"/>
      <c r="O682" s="1529"/>
      <c r="P682" s="1529"/>
      <c r="Q682" s="1529"/>
      <c r="R682" s="1529"/>
      <c r="S682" s="1529"/>
      <c r="T682" s="1529"/>
      <c r="U682" s="1529"/>
      <c r="V682" s="1529"/>
      <c r="W682" s="1529"/>
      <c r="X682" s="1529"/>
      <c r="Y682" s="1529"/>
      <c r="Z682" s="1529"/>
      <c r="AA682" s="1529"/>
      <c r="AB682" s="1529"/>
      <c r="AC682" s="1529"/>
      <c r="AD682" s="1529"/>
      <c r="AE682" s="1529"/>
      <c r="AF682" s="1529"/>
      <c r="AG682" s="1529"/>
    </row>
    <row r="683" spans="1:33" ht="18.75" hidden="1" thickBot="1">
      <c r="A683" s="1530"/>
      <c r="B683" s="1532"/>
      <c r="C683" s="1530"/>
      <c r="D683" s="1410" t="s">
        <v>2713</v>
      </c>
      <c r="E683" s="1528" t="s">
        <v>2129</v>
      </c>
      <c r="F683" s="1528" t="s">
        <v>2129</v>
      </c>
      <c r="G683" s="1528" t="s">
        <v>2129</v>
      </c>
      <c r="H683" s="1528" t="s">
        <v>2129</v>
      </c>
      <c r="I683" s="1528" t="s">
        <v>2129</v>
      </c>
      <c r="J683" s="1528" t="s">
        <v>2129</v>
      </c>
      <c r="K683" s="1528" t="s">
        <v>2129</v>
      </c>
      <c r="L683" s="1528" t="s">
        <v>2286</v>
      </c>
      <c r="M683" s="1528">
        <v>166</v>
      </c>
      <c r="N683" s="1528">
        <v>7</v>
      </c>
      <c r="O683" s="1528">
        <v>7</v>
      </c>
      <c r="P683" s="1528"/>
      <c r="Q683" s="1528"/>
      <c r="R683" s="1528"/>
      <c r="S683" s="1528" t="s">
        <v>2129</v>
      </c>
      <c r="T683" s="1528" t="s">
        <v>2129</v>
      </c>
      <c r="U683" s="1528" t="s">
        <v>2129</v>
      </c>
      <c r="V683" s="1528" t="s">
        <v>2129</v>
      </c>
      <c r="W683" s="1528" t="s">
        <v>2129</v>
      </c>
      <c r="X683" s="1528" t="s">
        <v>2129</v>
      </c>
      <c r="Y683" s="1528" t="s">
        <v>2129</v>
      </c>
      <c r="Z683" s="1528" t="s">
        <v>2129</v>
      </c>
      <c r="AA683" s="1528" t="s">
        <v>2129</v>
      </c>
      <c r="AB683" s="1528" t="s">
        <v>2129</v>
      </c>
      <c r="AC683" s="1528" t="s">
        <v>2129</v>
      </c>
      <c r="AD683" s="1528" t="s">
        <v>2129</v>
      </c>
      <c r="AE683" s="1528" t="s">
        <v>2129</v>
      </c>
      <c r="AF683" s="1528" t="s">
        <v>2129</v>
      </c>
      <c r="AG683" s="1528" t="s">
        <v>2129</v>
      </c>
    </row>
    <row r="684" spans="1:33" ht="93" hidden="1" thickBot="1">
      <c r="A684" s="1530"/>
      <c r="B684" s="1532"/>
      <c r="C684" s="1530"/>
      <c r="D684" s="1409" t="s">
        <v>2714</v>
      </c>
      <c r="E684" s="1529"/>
      <c r="F684" s="1529"/>
      <c r="G684" s="1529"/>
      <c r="H684" s="1529"/>
      <c r="I684" s="1529"/>
      <c r="J684" s="1529"/>
      <c r="K684" s="1529"/>
      <c r="L684" s="1529"/>
      <c r="M684" s="1529"/>
      <c r="N684" s="1529"/>
      <c r="O684" s="1529"/>
      <c r="P684" s="1529"/>
      <c r="Q684" s="1529"/>
      <c r="R684" s="1529"/>
      <c r="S684" s="1529"/>
      <c r="T684" s="1529"/>
      <c r="U684" s="1529"/>
      <c r="V684" s="1529"/>
      <c r="W684" s="1529"/>
      <c r="X684" s="1529"/>
      <c r="Y684" s="1529"/>
      <c r="Z684" s="1529"/>
      <c r="AA684" s="1529"/>
      <c r="AB684" s="1529"/>
      <c r="AC684" s="1529"/>
      <c r="AD684" s="1529"/>
      <c r="AE684" s="1529"/>
      <c r="AF684" s="1529"/>
      <c r="AG684" s="1529"/>
    </row>
    <row r="685" spans="1:33" ht="15.75" hidden="1" thickBot="1">
      <c r="A685" s="1530"/>
      <c r="B685" s="1532"/>
      <c r="C685" s="1530"/>
      <c r="D685" s="1410" t="s">
        <v>2715</v>
      </c>
      <c r="E685" s="1528" t="s">
        <v>2129</v>
      </c>
      <c r="F685" s="1528" t="s">
        <v>2129</v>
      </c>
      <c r="G685" s="1528" t="s">
        <v>2129</v>
      </c>
      <c r="H685" s="1528" t="s">
        <v>2129</v>
      </c>
      <c r="I685" s="1528" t="s">
        <v>2129</v>
      </c>
      <c r="J685" s="1528" t="s">
        <v>2129</v>
      </c>
      <c r="K685" s="1528" t="s">
        <v>2129</v>
      </c>
      <c r="L685" s="1528" t="s">
        <v>2286</v>
      </c>
      <c r="M685" s="1528">
        <v>166</v>
      </c>
      <c r="N685" s="1528">
        <v>35</v>
      </c>
      <c r="O685" s="1528">
        <v>35</v>
      </c>
      <c r="P685" s="1528"/>
      <c r="Q685" s="1528"/>
      <c r="R685" s="1528"/>
      <c r="S685" s="1528" t="s">
        <v>2129</v>
      </c>
      <c r="T685" s="1528" t="s">
        <v>2129</v>
      </c>
      <c r="U685" s="1528" t="s">
        <v>2129</v>
      </c>
      <c r="V685" s="1528" t="s">
        <v>2129</v>
      </c>
      <c r="W685" s="1528" t="s">
        <v>2129</v>
      </c>
      <c r="X685" s="1528" t="s">
        <v>2129</v>
      </c>
      <c r="Y685" s="1528" t="s">
        <v>2129</v>
      </c>
      <c r="Z685" s="1528" t="s">
        <v>2129</v>
      </c>
      <c r="AA685" s="1528" t="s">
        <v>2129</v>
      </c>
      <c r="AB685" s="1528" t="s">
        <v>2129</v>
      </c>
      <c r="AC685" s="1528" t="s">
        <v>2129</v>
      </c>
      <c r="AD685" s="1528" t="s">
        <v>2129</v>
      </c>
      <c r="AE685" s="1528" t="s">
        <v>2129</v>
      </c>
      <c r="AF685" s="1528" t="s">
        <v>2129</v>
      </c>
      <c r="AG685" s="1528" t="s">
        <v>2129</v>
      </c>
    </row>
    <row r="686" spans="1:33" ht="84.75" hidden="1" thickBot="1">
      <c r="A686" s="1530"/>
      <c r="B686" s="1532"/>
      <c r="C686" s="1530"/>
      <c r="D686" s="1409" t="s">
        <v>2716</v>
      </c>
      <c r="E686" s="1529"/>
      <c r="F686" s="1529"/>
      <c r="G686" s="1529"/>
      <c r="H686" s="1529"/>
      <c r="I686" s="1529"/>
      <c r="J686" s="1529"/>
      <c r="K686" s="1529"/>
      <c r="L686" s="1529"/>
      <c r="M686" s="1529"/>
      <c r="N686" s="1529"/>
      <c r="O686" s="1529"/>
      <c r="P686" s="1529"/>
      <c r="Q686" s="1529"/>
      <c r="R686" s="1529"/>
      <c r="S686" s="1529"/>
      <c r="T686" s="1529"/>
      <c r="U686" s="1529"/>
      <c r="V686" s="1529"/>
      <c r="W686" s="1529"/>
      <c r="X686" s="1529"/>
      <c r="Y686" s="1529"/>
      <c r="Z686" s="1529"/>
      <c r="AA686" s="1529"/>
      <c r="AB686" s="1529"/>
      <c r="AC686" s="1529"/>
      <c r="AD686" s="1529"/>
      <c r="AE686" s="1529"/>
      <c r="AF686" s="1529"/>
      <c r="AG686" s="1529"/>
    </row>
    <row r="687" spans="1:33" ht="18.75" hidden="1" thickBot="1">
      <c r="A687" s="1530"/>
      <c r="B687" s="1532"/>
      <c r="C687" s="1530"/>
      <c r="D687" s="1410" t="s">
        <v>2717</v>
      </c>
      <c r="E687" s="1528" t="s">
        <v>2129</v>
      </c>
      <c r="F687" s="1528" t="s">
        <v>2129</v>
      </c>
      <c r="G687" s="1528" t="s">
        <v>2129</v>
      </c>
      <c r="H687" s="1528" t="s">
        <v>2129</v>
      </c>
      <c r="I687" s="1528" t="s">
        <v>2129</v>
      </c>
      <c r="J687" s="1528" t="s">
        <v>2129</v>
      </c>
      <c r="K687" s="1528" t="s">
        <v>2129</v>
      </c>
      <c r="L687" s="1528" t="s">
        <v>2286</v>
      </c>
      <c r="M687" s="1528">
        <v>166</v>
      </c>
      <c r="N687" s="1528">
        <v>39.1</v>
      </c>
      <c r="O687" s="1528">
        <v>39.1</v>
      </c>
      <c r="P687" s="1528"/>
      <c r="Q687" s="1528"/>
      <c r="R687" s="1528"/>
      <c r="S687" s="1528" t="s">
        <v>2129</v>
      </c>
      <c r="T687" s="1528" t="s">
        <v>2129</v>
      </c>
      <c r="U687" s="1528" t="s">
        <v>2129</v>
      </c>
      <c r="V687" s="1528" t="s">
        <v>2129</v>
      </c>
      <c r="W687" s="1528" t="s">
        <v>2129</v>
      </c>
      <c r="X687" s="1528" t="s">
        <v>2129</v>
      </c>
      <c r="Y687" s="1528" t="s">
        <v>2129</v>
      </c>
      <c r="Z687" s="1528" t="s">
        <v>2129</v>
      </c>
      <c r="AA687" s="1528" t="s">
        <v>2129</v>
      </c>
      <c r="AB687" s="1528" t="s">
        <v>2129</v>
      </c>
      <c r="AC687" s="1528" t="s">
        <v>2129</v>
      </c>
      <c r="AD687" s="1528" t="s">
        <v>2129</v>
      </c>
      <c r="AE687" s="1528" t="s">
        <v>2129</v>
      </c>
      <c r="AF687" s="1528" t="s">
        <v>2129</v>
      </c>
      <c r="AG687" s="1528" t="s">
        <v>2129</v>
      </c>
    </row>
    <row r="688" spans="1:33" ht="76.5" hidden="1" thickBot="1">
      <c r="A688" s="1530"/>
      <c r="B688" s="1532"/>
      <c r="C688" s="1530"/>
      <c r="D688" s="1409" t="s">
        <v>2718</v>
      </c>
      <c r="E688" s="1529"/>
      <c r="F688" s="1529"/>
      <c r="G688" s="1529"/>
      <c r="H688" s="1529"/>
      <c r="I688" s="1529"/>
      <c r="J688" s="1529"/>
      <c r="K688" s="1529"/>
      <c r="L688" s="1529"/>
      <c r="M688" s="1529"/>
      <c r="N688" s="1529"/>
      <c r="O688" s="1529"/>
      <c r="P688" s="1529"/>
      <c r="Q688" s="1529"/>
      <c r="R688" s="1529"/>
      <c r="S688" s="1529"/>
      <c r="T688" s="1529"/>
      <c r="U688" s="1529"/>
      <c r="V688" s="1529"/>
      <c r="W688" s="1529"/>
      <c r="X688" s="1529"/>
      <c r="Y688" s="1529"/>
      <c r="Z688" s="1529"/>
      <c r="AA688" s="1529"/>
      <c r="AB688" s="1529"/>
      <c r="AC688" s="1529"/>
      <c r="AD688" s="1529"/>
      <c r="AE688" s="1529"/>
      <c r="AF688" s="1529"/>
      <c r="AG688" s="1529"/>
    </row>
    <row r="689" spans="1:33" ht="15.75" hidden="1" thickBot="1">
      <c r="A689" s="1530"/>
      <c r="B689" s="1532"/>
      <c r="C689" s="1530"/>
      <c r="D689" s="1410" t="s">
        <v>2719</v>
      </c>
      <c r="E689" s="1528" t="s">
        <v>2129</v>
      </c>
      <c r="F689" s="1528" t="s">
        <v>2129</v>
      </c>
      <c r="G689" s="1528" t="s">
        <v>2129</v>
      </c>
      <c r="H689" s="1528" t="s">
        <v>2129</v>
      </c>
      <c r="I689" s="1528" t="s">
        <v>2129</v>
      </c>
      <c r="J689" s="1528" t="s">
        <v>2129</v>
      </c>
      <c r="K689" s="1528" t="s">
        <v>2129</v>
      </c>
      <c r="L689" s="1528" t="s">
        <v>2286</v>
      </c>
      <c r="M689" s="1528">
        <v>166</v>
      </c>
      <c r="N689" s="1528">
        <v>39.1</v>
      </c>
      <c r="O689" s="1528">
        <v>39.1</v>
      </c>
      <c r="P689" s="1528"/>
      <c r="Q689" s="1528"/>
      <c r="R689" s="1528"/>
      <c r="S689" s="1528" t="s">
        <v>2129</v>
      </c>
      <c r="T689" s="1528" t="s">
        <v>2129</v>
      </c>
      <c r="U689" s="1528" t="s">
        <v>2129</v>
      </c>
      <c r="V689" s="1528" t="s">
        <v>2129</v>
      </c>
      <c r="W689" s="1528" t="s">
        <v>2129</v>
      </c>
      <c r="X689" s="1528" t="s">
        <v>2129</v>
      </c>
      <c r="Y689" s="1528" t="s">
        <v>2129</v>
      </c>
      <c r="Z689" s="1528" t="s">
        <v>2129</v>
      </c>
      <c r="AA689" s="1528" t="s">
        <v>2129</v>
      </c>
      <c r="AB689" s="1528" t="s">
        <v>2129</v>
      </c>
      <c r="AC689" s="1528" t="s">
        <v>2129</v>
      </c>
      <c r="AD689" s="1528" t="s">
        <v>2129</v>
      </c>
      <c r="AE689" s="1528" t="s">
        <v>2129</v>
      </c>
      <c r="AF689" s="1528" t="s">
        <v>2129</v>
      </c>
      <c r="AG689" s="1528" t="s">
        <v>2129</v>
      </c>
    </row>
    <row r="690" spans="1:33" ht="76.5" hidden="1" thickBot="1">
      <c r="A690" s="1530"/>
      <c r="B690" s="1532"/>
      <c r="C690" s="1530"/>
      <c r="D690" s="1409" t="s">
        <v>2720</v>
      </c>
      <c r="E690" s="1529"/>
      <c r="F690" s="1529"/>
      <c r="G690" s="1529"/>
      <c r="H690" s="1529"/>
      <c r="I690" s="1529"/>
      <c r="J690" s="1529"/>
      <c r="K690" s="1529"/>
      <c r="L690" s="1529"/>
      <c r="M690" s="1529"/>
      <c r="N690" s="1529"/>
      <c r="O690" s="1529"/>
      <c r="P690" s="1529"/>
      <c r="Q690" s="1529"/>
      <c r="R690" s="1529"/>
      <c r="S690" s="1529"/>
      <c r="T690" s="1529"/>
      <c r="U690" s="1529"/>
      <c r="V690" s="1529"/>
      <c r="W690" s="1529"/>
      <c r="X690" s="1529"/>
      <c r="Y690" s="1529"/>
      <c r="Z690" s="1529"/>
      <c r="AA690" s="1529"/>
      <c r="AB690" s="1529"/>
      <c r="AC690" s="1529"/>
      <c r="AD690" s="1529"/>
      <c r="AE690" s="1529"/>
      <c r="AF690" s="1529"/>
      <c r="AG690" s="1529"/>
    </row>
    <row r="691" spans="1:33" ht="18.75" hidden="1" thickBot="1">
      <c r="A691" s="1530"/>
      <c r="B691" s="1532"/>
      <c r="C691" s="1530"/>
      <c r="D691" s="1410" t="s">
        <v>2721</v>
      </c>
      <c r="E691" s="1528" t="s">
        <v>2129</v>
      </c>
      <c r="F691" s="1528" t="s">
        <v>2129</v>
      </c>
      <c r="G691" s="1528" t="s">
        <v>2129</v>
      </c>
      <c r="H691" s="1528" t="s">
        <v>2129</v>
      </c>
      <c r="I691" s="1528" t="s">
        <v>2129</v>
      </c>
      <c r="J691" s="1528" t="s">
        <v>2129</v>
      </c>
      <c r="K691" s="1528" t="s">
        <v>2129</v>
      </c>
      <c r="L691" s="1528" t="s">
        <v>2166</v>
      </c>
      <c r="M691" s="1528">
        <v>796</v>
      </c>
      <c r="N691" s="1528">
        <v>80</v>
      </c>
      <c r="O691" s="1528">
        <v>80</v>
      </c>
      <c r="P691" s="1528"/>
      <c r="Q691" s="1528"/>
      <c r="R691" s="1528"/>
      <c r="S691" s="1528" t="s">
        <v>2129</v>
      </c>
      <c r="T691" s="1528" t="s">
        <v>2129</v>
      </c>
      <c r="U691" s="1528" t="s">
        <v>2129</v>
      </c>
      <c r="V691" s="1528" t="s">
        <v>2129</v>
      </c>
      <c r="W691" s="1528" t="s">
        <v>2129</v>
      </c>
      <c r="X691" s="1528" t="s">
        <v>2129</v>
      </c>
      <c r="Y691" s="1528" t="s">
        <v>2129</v>
      </c>
      <c r="Z691" s="1528" t="s">
        <v>2129</v>
      </c>
      <c r="AA691" s="1528" t="s">
        <v>2129</v>
      </c>
      <c r="AB691" s="1528" t="s">
        <v>2129</v>
      </c>
      <c r="AC691" s="1528" t="s">
        <v>2129</v>
      </c>
      <c r="AD691" s="1528" t="s">
        <v>2129</v>
      </c>
      <c r="AE691" s="1528" t="s">
        <v>2129</v>
      </c>
      <c r="AF691" s="1528" t="s">
        <v>2129</v>
      </c>
      <c r="AG691" s="1528" t="s">
        <v>2129</v>
      </c>
    </row>
    <row r="692" spans="1:33" ht="76.5" hidden="1" thickBot="1">
      <c r="A692" s="1530"/>
      <c r="B692" s="1532"/>
      <c r="C692" s="1530"/>
      <c r="D692" s="1409" t="s">
        <v>2722</v>
      </c>
      <c r="E692" s="1529"/>
      <c r="F692" s="1529"/>
      <c r="G692" s="1529"/>
      <c r="H692" s="1529"/>
      <c r="I692" s="1529"/>
      <c r="J692" s="1529"/>
      <c r="K692" s="1529"/>
      <c r="L692" s="1529"/>
      <c r="M692" s="1529"/>
      <c r="N692" s="1529"/>
      <c r="O692" s="1529"/>
      <c r="P692" s="1529"/>
      <c r="Q692" s="1529"/>
      <c r="R692" s="1529"/>
      <c r="S692" s="1529"/>
      <c r="T692" s="1529"/>
      <c r="U692" s="1529"/>
      <c r="V692" s="1529"/>
      <c r="W692" s="1529"/>
      <c r="X692" s="1529"/>
      <c r="Y692" s="1529"/>
      <c r="Z692" s="1529"/>
      <c r="AA692" s="1529"/>
      <c r="AB692" s="1529"/>
      <c r="AC692" s="1529"/>
      <c r="AD692" s="1529"/>
      <c r="AE692" s="1529"/>
      <c r="AF692" s="1529"/>
      <c r="AG692" s="1529"/>
    </row>
    <row r="693" spans="1:33" ht="15.75" hidden="1" thickBot="1">
      <c r="A693" s="1530"/>
      <c r="B693" s="1532"/>
      <c r="C693" s="1530"/>
      <c r="D693" s="1410" t="s">
        <v>503</v>
      </c>
      <c r="E693" s="1528" t="s">
        <v>2129</v>
      </c>
      <c r="F693" s="1528" t="s">
        <v>2129</v>
      </c>
      <c r="G693" s="1528" t="s">
        <v>2129</v>
      </c>
      <c r="H693" s="1528" t="s">
        <v>2129</v>
      </c>
      <c r="I693" s="1528" t="s">
        <v>2129</v>
      </c>
      <c r="J693" s="1528" t="s">
        <v>2129</v>
      </c>
      <c r="K693" s="1528" t="s">
        <v>2129</v>
      </c>
      <c r="L693" s="1528" t="s">
        <v>2286</v>
      </c>
      <c r="M693" s="1528">
        <v>166</v>
      </c>
      <c r="N693" s="1528">
        <v>100</v>
      </c>
      <c r="O693" s="1528">
        <v>100</v>
      </c>
      <c r="P693" s="1528"/>
      <c r="Q693" s="1528"/>
      <c r="R693" s="1528"/>
      <c r="S693" s="1528" t="s">
        <v>2129</v>
      </c>
      <c r="T693" s="1528" t="s">
        <v>2129</v>
      </c>
      <c r="U693" s="1528" t="s">
        <v>2129</v>
      </c>
      <c r="V693" s="1528" t="s">
        <v>2129</v>
      </c>
      <c r="W693" s="1528" t="s">
        <v>2129</v>
      </c>
      <c r="X693" s="1528" t="s">
        <v>2129</v>
      </c>
      <c r="Y693" s="1528" t="s">
        <v>2129</v>
      </c>
      <c r="Z693" s="1528" t="s">
        <v>2129</v>
      </c>
      <c r="AA693" s="1528" t="s">
        <v>2129</v>
      </c>
      <c r="AB693" s="1528" t="s">
        <v>2129</v>
      </c>
      <c r="AC693" s="1528" t="s">
        <v>2129</v>
      </c>
      <c r="AD693" s="1528" t="s">
        <v>2129</v>
      </c>
      <c r="AE693" s="1528" t="s">
        <v>2129</v>
      </c>
      <c r="AF693" s="1528" t="s">
        <v>2129</v>
      </c>
      <c r="AG693" s="1528" t="s">
        <v>2129</v>
      </c>
    </row>
    <row r="694" spans="1:33" ht="68.25" hidden="1" thickBot="1">
      <c r="A694" s="1530"/>
      <c r="B694" s="1532"/>
      <c r="C694" s="1530"/>
      <c r="D694" s="1409" t="s">
        <v>2723</v>
      </c>
      <c r="E694" s="1529"/>
      <c r="F694" s="1529"/>
      <c r="G694" s="1529"/>
      <c r="H694" s="1529"/>
      <c r="I694" s="1529"/>
      <c r="J694" s="1529"/>
      <c r="K694" s="1529"/>
      <c r="L694" s="1529"/>
      <c r="M694" s="1529"/>
      <c r="N694" s="1529"/>
      <c r="O694" s="1529"/>
      <c r="P694" s="1529"/>
      <c r="Q694" s="1529"/>
      <c r="R694" s="1529"/>
      <c r="S694" s="1529"/>
      <c r="T694" s="1529"/>
      <c r="U694" s="1529"/>
      <c r="V694" s="1529"/>
      <c r="W694" s="1529"/>
      <c r="X694" s="1529"/>
      <c r="Y694" s="1529"/>
      <c r="Z694" s="1529"/>
      <c r="AA694" s="1529"/>
      <c r="AB694" s="1529"/>
      <c r="AC694" s="1529"/>
      <c r="AD694" s="1529"/>
      <c r="AE694" s="1529"/>
      <c r="AF694" s="1529"/>
      <c r="AG694" s="1529"/>
    </row>
    <row r="695" spans="1:33" ht="27" hidden="1" thickBot="1">
      <c r="A695" s="1530"/>
      <c r="B695" s="1532"/>
      <c r="C695" s="1530"/>
      <c r="D695" s="1410" t="s">
        <v>2724</v>
      </c>
      <c r="E695" s="1528" t="s">
        <v>2129</v>
      </c>
      <c r="F695" s="1528" t="s">
        <v>2129</v>
      </c>
      <c r="G695" s="1528" t="s">
        <v>2129</v>
      </c>
      <c r="H695" s="1528" t="s">
        <v>2129</v>
      </c>
      <c r="I695" s="1528" t="s">
        <v>2129</v>
      </c>
      <c r="J695" s="1528" t="s">
        <v>2129</v>
      </c>
      <c r="K695" s="1528" t="s">
        <v>2129</v>
      </c>
      <c r="L695" s="1528" t="s">
        <v>2286</v>
      </c>
      <c r="M695" s="1528">
        <v>166</v>
      </c>
      <c r="N695" s="1528">
        <v>6</v>
      </c>
      <c r="O695" s="1528">
        <v>6</v>
      </c>
      <c r="P695" s="1528"/>
      <c r="Q695" s="1528"/>
      <c r="R695" s="1528"/>
      <c r="S695" s="1528" t="s">
        <v>2129</v>
      </c>
      <c r="T695" s="1528" t="s">
        <v>2129</v>
      </c>
      <c r="U695" s="1528" t="s">
        <v>2129</v>
      </c>
      <c r="V695" s="1528" t="s">
        <v>2129</v>
      </c>
      <c r="W695" s="1528" t="s">
        <v>2129</v>
      </c>
      <c r="X695" s="1528" t="s">
        <v>2129</v>
      </c>
      <c r="Y695" s="1528" t="s">
        <v>2129</v>
      </c>
      <c r="Z695" s="1528" t="s">
        <v>2129</v>
      </c>
      <c r="AA695" s="1528" t="s">
        <v>2129</v>
      </c>
      <c r="AB695" s="1528" t="s">
        <v>2129</v>
      </c>
      <c r="AC695" s="1528" t="s">
        <v>2129</v>
      </c>
      <c r="AD695" s="1528" t="s">
        <v>2129</v>
      </c>
      <c r="AE695" s="1528" t="s">
        <v>2129</v>
      </c>
      <c r="AF695" s="1528" t="s">
        <v>2129</v>
      </c>
      <c r="AG695" s="1528" t="s">
        <v>2129</v>
      </c>
    </row>
    <row r="696" spans="1:33" ht="68.25" hidden="1" thickBot="1">
      <c r="A696" s="1530"/>
      <c r="B696" s="1532"/>
      <c r="C696" s="1530"/>
      <c r="D696" s="1409" t="s">
        <v>2725</v>
      </c>
      <c r="E696" s="1529"/>
      <c r="F696" s="1529"/>
      <c r="G696" s="1529"/>
      <c r="H696" s="1529"/>
      <c r="I696" s="1529"/>
      <c r="J696" s="1529"/>
      <c r="K696" s="1529"/>
      <c r="L696" s="1529"/>
      <c r="M696" s="1529"/>
      <c r="N696" s="1529"/>
      <c r="O696" s="1529"/>
      <c r="P696" s="1529"/>
      <c r="Q696" s="1529"/>
      <c r="R696" s="1529"/>
      <c r="S696" s="1529"/>
      <c r="T696" s="1529"/>
      <c r="U696" s="1529"/>
      <c r="V696" s="1529"/>
      <c r="W696" s="1529"/>
      <c r="X696" s="1529"/>
      <c r="Y696" s="1529"/>
      <c r="Z696" s="1529"/>
      <c r="AA696" s="1529"/>
      <c r="AB696" s="1529"/>
      <c r="AC696" s="1529"/>
      <c r="AD696" s="1529"/>
      <c r="AE696" s="1529"/>
      <c r="AF696" s="1529"/>
      <c r="AG696" s="1529"/>
    </row>
    <row r="697" spans="1:33" ht="18.75" hidden="1" thickBot="1">
      <c r="A697" s="1530"/>
      <c r="B697" s="1532"/>
      <c r="C697" s="1530"/>
      <c r="D697" s="1410" t="s">
        <v>2726</v>
      </c>
      <c r="E697" s="1528" t="s">
        <v>2129</v>
      </c>
      <c r="F697" s="1528" t="s">
        <v>2129</v>
      </c>
      <c r="G697" s="1528" t="s">
        <v>2129</v>
      </c>
      <c r="H697" s="1528" t="s">
        <v>2129</v>
      </c>
      <c r="I697" s="1528" t="s">
        <v>2129</v>
      </c>
      <c r="J697" s="1528" t="s">
        <v>2129</v>
      </c>
      <c r="K697" s="1528" t="s">
        <v>2129</v>
      </c>
      <c r="L697" s="1528" t="s">
        <v>2286</v>
      </c>
      <c r="M697" s="1528">
        <v>166</v>
      </c>
      <c r="N697" s="1528">
        <v>42.24</v>
      </c>
      <c r="O697" s="1528">
        <v>42.24</v>
      </c>
      <c r="P697" s="1528"/>
      <c r="Q697" s="1528"/>
      <c r="R697" s="1528"/>
      <c r="S697" s="1528" t="s">
        <v>2129</v>
      </c>
      <c r="T697" s="1528" t="s">
        <v>2129</v>
      </c>
      <c r="U697" s="1528" t="s">
        <v>2129</v>
      </c>
      <c r="V697" s="1528" t="s">
        <v>2129</v>
      </c>
      <c r="W697" s="1528" t="s">
        <v>2129</v>
      </c>
      <c r="X697" s="1528" t="s">
        <v>2129</v>
      </c>
      <c r="Y697" s="1528" t="s">
        <v>2129</v>
      </c>
      <c r="Z697" s="1528" t="s">
        <v>2129</v>
      </c>
      <c r="AA697" s="1528" t="s">
        <v>2129</v>
      </c>
      <c r="AB697" s="1528" t="s">
        <v>2129</v>
      </c>
      <c r="AC697" s="1528" t="s">
        <v>2129</v>
      </c>
      <c r="AD697" s="1528" t="s">
        <v>2129</v>
      </c>
      <c r="AE697" s="1528" t="s">
        <v>2129</v>
      </c>
      <c r="AF697" s="1528" t="s">
        <v>2129</v>
      </c>
      <c r="AG697" s="1528" t="s">
        <v>2129</v>
      </c>
    </row>
    <row r="698" spans="1:33" ht="68.25" hidden="1" thickBot="1">
      <c r="A698" s="1529"/>
      <c r="B698" s="1533"/>
      <c r="C698" s="1529"/>
      <c r="D698" s="1409" t="s">
        <v>2727</v>
      </c>
      <c r="E698" s="1529"/>
      <c r="F698" s="1529"/>
      <c r="G698" s="1529"/>
      <c r="H698" s="1529"/>
      <c r="I698" s="1529"/>
      <c r="J698" s="1529"/>
      <c r="K698" s="1529"/>
      <c r="L698" s="1529"/>
      <c r="M698" s="1529"/>
      <c r="N698" s="1529"/>
      <c r="O698" s="1529"/>
      <c r="P698" s="1529"/>
      <c r="Q698" s="1529"/>
      <c r="R698" s="1529"/>
      <c r="S698" s="1529"/>
      <c r="T698" s="1529"/>
      <c r="U698" s="1529"/>
      <c r="V698" s="1529"/>
      <c r="W698" s="1529"/>
      <c r="X698" s="1529"/>
      <c r="Y698" s="1529"/>
      <c r="Z698" s="1529"/>
      <c r="AA698" s="1529"/>
      <c r="AB698" s="1529"/>
      <c r="AC698" s="1529"/>
      <c r="AD698" s="1529"/>
      <c r="AE698" s="1529"/>
      <c r="AF698" s="1529"/>
      <c r="AG698" s="1529"/>
    </row>
    <row r="699" spans="1:33" ht="23.25" hidden="1" customHeight="1" thickBot="1">
      <c r="A699" s="1528">
        <v>83</v>
      </c>
      <c r="B699" s="1531">
        <v>1.7224300000000002E+35</v>
      </c>
      <c r="C699" s="1528" t="s">
        <v>2641</v>
      </c>
      <c r="D699" s="1528" t="s">
        <v>2728</v>
      </c>
      <c r="E699" s="1528">
        <v>42158</v>
      </c>
      <c r="F699" s="1528"/>
      <c r="G699" s="1528">
        <v>42158</v>
      </c>
      <c r="H699" s="1528">
        <v>42158</v>
      </c>
      <c r="I699" s="1528">
        <v>0</v>
      </c>
      <c r="J699" s="1528">
        <v>0</v>
      </c>
      <c r="K699" s="1528">
        <v>0</v>
      </c>
      <c r="L699" s="1528" t="s">
        <v>2129</v>
      </c>
      <c r="M699" s="1528" t="s">
        <v>2129</v>
      </c>
      <c r="N699" s="1528" t="s">
        <v>2129</v>
      </c>
      <c r="O699" s="1528" t="s">
        <v>2129</v>
      </c>
      <c r="P699" s="1528" t="s">
        <v>2129</v>
      </c>
      <c r="Q699" s="1528" t="s">
        <v>2129</v>
      </c>
      <c r="R699" s="1528" t="s">
        <v>2129</v>
      </c>
      <c r="S699" s="1410" t="s">
        <v>2149</v>
      </c>
      <c r="T699" s="1528">
        <v>421.58</v>
      </c>
      <c r="U699" s="1528">
        <v>3798.44</v>
      </c>
      <c r="V699" s="1528">
        <v>5.2016999999999998</v>
      </c>
      <c r="W699" s="1528">
        <v>12.201700000000001</v>
      </c>
      <c r="X699" s="1528" t="s">
        <v>2281</v>
      </c>
      <c r="Y699" s="1528" t="s">
        <v>2282</v>
      </c>
      <c r="Z699" s="1528" t="s">
        <v>2132</v>
      </c>
      <c r="AA699" s="1528" t="s">
        <v>2346</v>
      </c>
      <c r="AB699" s="1528"/>
      <c r="AC699" s="1528"/>
      <c r="AD699" s="1528" t="s">
        <v>2668</v>
      </c>
      <c r="AE699" s="1410" t="s">
        <v>2134</v>
      </c>
      <c r="AF699" s="1528"/>
      <c r="AG699" s="1528" t="s">
        <v>2283</v>
      </c>
    </row>
    <row r="700" spans="1:33" ht="84.75" hidden="1" thickBot="1">
      <c r="A700" s="1530"/>
      <c r="B700" s="1532"/>
      <c r="C700" s="1530"/>
      <c r="D700" s="1530"/>
      <c r="E700" s="1530"/>
      <c r="F700" s="1530"/>
      <c r="G700" s="1530"/>
      <c r="H700" s="1530"/>
      <c r="I700" s="1530"/>
      <c r="J700" s="1530"/>
      <c r="K700" s="1530"/>
      <c r="L700" s="1530"/>
      <c r="M700" s="1530"/>
      <c r="N700" s="1530"/>
      <c r="O700" s="1530"/>
      <c r="P700" s="1530"/>
      <c r="Q700" s="1530"/>
      <c r="R700" s="1530"/>
      <c r="S700" s="1410" t="s">
        <v>2325</v>
      </c>
      <c r="T700" s="1530"/>
      <c r="U700" s="1530"/>
      <c r="V700" s="1530"/>
      <c r="W700" s="1530"/>
      <c r="X700" s="1530"/>
      <c r="Y700" s="1530"/>
      <c r="Z700" s="1530"/>
      <c r="AA700" s="1530"/>
      <c r="AB700" s="1530"/>
      <c r="AC700" s="1530"/>
      <c r="AD700" s="1530"/>
      <c r="AE700" s="1410" t="s">
        <v>2136</v>
      </c>
      <c r="AF700" s="1530"/>
      <c r="AG700" s="1530"/>
    </row>
    <row r="701" spans="1:33" ht="15.75" hidden="1" thickBot="1">
      <c r="A701" s="1530"/>
      <c r="B701" s="1532"/>
      <c r="C701" s="1530"/>
      <c r="D701" s="1529"/>
      <c r="E701" s="1529"/>
      <c r="F701" s="1529"/>
      <c r="G701" s="1529"/>
      <c r="H701" s="1529"/>
      <c r="I701" s="1529"/>
      <c r="J701" s="1529"/>
      <c r="K701" s="1529"/>
      <c r="L701" s="1529"/>
      <c r="M701" s="1529"/>
      <c r="N701" s="1529"/>
      <c r="O701" s="1529"/>
      <c r="P701" s="1529"/>
      <c r="Q701" s="1529"/>
      <c r="R701" s="1529"/>
      <c r="S701" s="1409"/>
      <c r="T701" s="1529"/>
      <c r="U701" s="1529"/>
      <c r="V701" s="1529"/>
      <c r="W701" s="1529"/>
      <c r="X701" s="1529"/>
      <c r="Y701" s="1529"/>
      <c r="Z701" s="1529"/>
      <c r="AA701" s="1529"/>
      <c r="AB701" s="1529"/>
      <c r="AC701" s="1529"/>
      <c r="AD701" s="1529"/>
      <c r="AE701" s="1409"/>
      <c r="AF701" s="1529"/>
      <c r="AG701" s="1529"/>
    </row>
    <row r="702" spans="1:33" ht="15.75" hidden="1" thickBot="1">
      <c r="A702" s="1530"/>
      <c r="B702" s="1532"/>
      <c r="C702" s="1530"/>
      <c r="D702" s="1410" t="s">
        <v>2729</v>
      </c>
      <c r="E702" s="1528" t="s">
        <v>2129</v>
      </c>
      <c r="F702" s="1528" t="s">
        <v>2129</v>
      </c>
      <c r="G702" s="1528" t="s">
        <v>2129</v>
      </c>
      <c r="H702" s="1528" t="s">
        <v>2129</v>
      </c>
      <c r="I702" s="1528" t="s">
        <v>2129</v>
      </c>
      <c r="J702" s="1528" t="s">
        <v>2129</v>
      </c>
      <c r="K702" s="1528" t="s">
        <v>2129</v>
      </c>
      <c r="L702" s="1528" t="s">
        <v>2286</v>
      </c>
      <c r="M702" s="1528">
        <v>166</v>
      </c>
      <c r="N702" s="1528">
        <v>200</v>
      </c>
      <c r="O702" s="1528">
        <v>200</v>
      </c>
      <c r="P702" s="1528"/>
      <c r="Q702" s="1528"/>
      <c r="R702" s="1528"/>
      <c r="S702" s="1528" t="s">
        <v>2129</v>
      </c>
      <c r="T702" s="1528" t="s">
        <v>2129</v>
      </c>
      <c r="U702" s="1528" t="s">
        <v>2129</v>
      </c>
      <c r="V702" s="1528" t="s">
        <v>2129</v>
      </c>
      <c r="W702" s="1528" t="s">
        <v>2129</v>
      </c>
      <c r="X702" s="1528" t="s">
        <v>2129</v>
      </c>
      <c r="Y702" s="1528" t="s">
        <v>2129</v>
      </c>
      <c r="Z702" s="1528" t="s">
        <v>2129</v>
      </c>
      <c r="AA702" s="1528" t="s">
        <v>2129</v>
      </c>
      <c r="AB702" s="1528" t="s">
        <v>2129</v>
      </c>
      <c r="AC702" s="1528" t="s">
        <v>2129</v>
      </c>
      <c r="AD702" s="1528" t="s">
        <v>2129</v>
      </c>
      <c r="AE702" s="1528" t="s">
        <v>2129</v>
      </c>
      <c r="AF702" s="1528" t="s">
        <v>2129</v>
      </c>
      <c r="AG702" s="1528" t="s">
        <v>2129</v>
      </c>
    </row>
    <row r="703" spans="1:33" ht="93" hidden="1" thickBot="1">
      <c r="A703" s="1529"/>
      <c r="B703" s="1533"/>
      <c r="C703" s="1529"/>
      <c r="D703" s="1409" t="s">
        <v>2730</v>
      </c>
      <c r="E703" s="1529"/>
      <c r="F703" s="1529"/>
      <c r="G703" s="1529"/>
      <c r="H703" s="1529"/>
      <c r="I703" s="1529"/>
      <c r="J703" s="1529"/>
      <c r="K703" s="1529"/>
      <c r="L703" s="1529"/>
      <c r="M703" s="1529"/>
      <c r="N703" s="1529"/>
      <c r="O703" s="1529"/>
      <c r="P703" s="1529"/>
      <c r="Q703" s="1529"/>
      <c r="R703" s="1529"/>
      <c r="S703" s="1529"/>
      <c r="T703" s="1529"/>
      <c r="U703" s="1529"/>
      <c r="V703" s="1529"/>
      <c r="W703" s="1529"/>
      <c r="X703" s="1529"/>
      <c r="Y703" s="1529"/>
      <c r="Z703" s="1529"/>
      <c r="AA703" s="1529"/>
      <c r="AB703" s="1529"/>
      <c r="AC703" s="1529"/>
      <c r="AD703" s="1529"/>
      <c r="AE703" s="1529"/>
      <c r="AF703" s="1529"/>
      <c r="AG703" s="1529"/>
    </row>
    <row r="704" spans="1:33" ht="23.25" hidden="1" customHeight="1" thickBot="1">
      <c r="A704" s="1528">
        <v>84</v>
      </c>
      <c r="B704" s="1531">
        <v>1.7224300000000002E+35</v>
      </c>
      <c r="C704" s="1528" t="s">
        <v>2672</v>
      </c>
      <c r="D704" s="1528" t="s">
        <v>2731</v>
      </c>
      <c r="E704" s="1528">
        <v>76543.67</v>
      </c>
      <c r="F704" s="1528"/>
      <c r="G704" s="1528">
        <v>76543.67</v>
      </c>
      <c r="H704" s="1528">
        <v>76543.67</v>
      </c>
      <c r="I704" s="1528">
        <v>0</v>
      </c>
      <c r="J704" s="1528">
        <v>0</v>
      </c>
      <c r="K704" s="1528">
        <v>0</v>
      </c>
      <c r="L704" s="1528" t="s">
        <v>2129</v>
      </c>
      <c r="M704" s="1528" t="s">
        <v>2129</v>
      </c>
      <c r="N704" s="1528" t="s">
        <v>2129</v>
      </c>
      <c r="O704" s="1528" t="s">
        <v>2129</v>
      </c>
      <c r="P704" s="1528" t="s">
        <v>2129</v>
      </c>
      <c r="Q704" s="1528" t="s">
        <v>2129</v>
      </c>
      <c r="R704" s="1528" t="s">
        <v>2129</v>
      </c>
      <c r="S704" s="1410" t="s">
        <v>2149</v>
      </c>
      <c r="T704" s="1528">
        <v>765.44</v>
      </c>
      <c r="U704" s="1528">
        <v>3827.18</v>
      </c>
      <c r="V704" s="1528">
        <v>1.2017</v>
      </c>
      <c r="W704" s="1528">
        <v>6.2016999999999998</v>
      </c>
      <c r="X704" s="1528" t="s">
        <v>2281</v>
      </c>
      <c r="Y704" s="1528" t="s">
        <v>2132</v>
      </c>
      <c r="Z704" s="1528" t="s">
        <v>2132</v>
      </c>
      <c r="AA704" s="1528"/>
      <c r="AB704" s="1528"/>
      <c r="AC704" s="1528"/>
      <c r="AD704" s="1528"/>
      <c r="AE704" s="1528"/>
      <c r="AF704" s="1528"/>
      <c r="AG704" s="1528"/>
    </row>
    <row r="705" spans="1:33" ht="93" hidden="1" thickBot="1">
      <c r="A705" s="1530"/>
      <c r="B705" s="1532"/>
      <c r="C705" s="1530"/>
      <c r="D705" s="1529"/>
      <c r="E705" s="1529"/>
      <c r="F705" s="1529"/>
      <c r="G705" s="1529"/>
      <c r="H705" s="1529"/>
      <c r="I705" s="1529"/>
      <c r="J705" s="1529"/>
      <c r="K705" s="1529"/>
      <c r="L705" s="1529"/>
      <c r="M705" s="1529"/>
      <c r="N705" s="1529"/>
      <c r="O705" s="1529"/>
      <c r="P705" s="1529"/>
      <c r="Q705" s="1529"/>
      <c r="R705" s="1529"/>
      <c r="S705" s="1409" t="s">
        <v>2732</v>
      </c>
      <c r="T705" s="1529"/>
      <c r="U705" s="1529"/>
      <c r="V705" s="1529"/>
      <c r="W705" s="1529"/>
      <c r="X705" s="1529"/>
      <c r="Y705" s="1529"/>
      <c r="Z705" s="1529"/>
      <c r="AA705" s="1529"/>
      <c r="AB705" s="1529"/>
      <c r="AC705" s="1529"/>
      <c r="AD705" s="1529"/>
      <c r="AE705" s="1529"/>
      <c r="AF705" s="1529"/>
      <c r="AG705" s="1529"/>
    </row>
    <row r="706" spans="1:33" ht="27" hidden="1" thickBot="1">
      <c r="A706" s="1530"/>
      <c r="B706" s="1532"/>
      <c r="C706" s="1530"/>
      <c r="D706" s="1410" t="s">
        <v>2371</v>
      </c>
      <c r="E706" s="1528" t="s">
        <v>2129</v>
      </c>
      <c r="F706" s="1528" t="s">
        <v>2129</v>
      </c>
      <c r="G706" s="1528" t="s">
        <v>2129</v>
      </c>
      <c r="H706" s="1528" t="s">
        <v>2129</v>
      </c>
      <c r="I706" s="1528" t="s">
        <v>2129</v>
      </c>
      <c r="J706" s="1528" t="s">
        <v>2129</v>
      </c>
      <c r="K706" s="1528" t="s">
        <v>2129</v>
      </c>
      <c r="L706" s="1528" t="s">
        <v>2286</v>
      </c>
      <c r="M706" s="1528">
        <v>166</v>
      </c>
      <c r="N706" s="1528">
        <v>178</v>
      </c>
      <c r="O706" s="1528">
        <v>178</v>
      </c>
      <c r="P706" s="1528"/>
      <c r="Q706" s="1528"/>
      <c r="R706" s="1528"/>
      <c r="S706" s="1528" t="s">
        <v>2129</v>
      </c>
      <c r="T706" s="1528" t="s">
        <v>2129</v>
      </c>
      <c r="U706" s="1528" t="s">
        <v>2129</v>
      </c>
      <c r="V706" s="1528" t="s">
        <v>2129</v>
      </c>
      <c r="W706" s="1528" t="s">
        <v>2129</v>
      </c>
      <c r="X706" s="1528" t="s">
        <v>2129</v>
      </c>
      <c r="Y706" s="1528" t="s">
        <v>2129</v>
      </c>
      <c r="Z706" s="1528" t="s">
        <v>2129</v>
      </c>
      <c r="AA706" s="1528" t="s">
        <v>2129</v>
      </c>
      <c r="AB706" s="1528" t="s">
        <v>2129</v>
      </c>
      <c r="AC706" s="1528" t="s">
        <v>2129</v>
      </c>
      <c r="AD706" s="1528" t="s">
        <v>2129</v>
      </c>
      <c r="AE706" s="1528" t="s">
        <v>2129</v>
      </c>
      <c r="AF706" s="1528" t="s">
        <v>2129</v>
      </c>
      <c r="AG706" s="1528" t="s">
        <v>2129</v>
      </c>
    </row>
    <row r="707" spans="1:33" ht="68.25" hidden="1" thickBot="1">
      <c r="A707" s="1530"/>
      <c r="B707" s="1532"/>
      <c r="C707" s="1530"/>
      <c r="D707" s="1409" t="s">
        <v>2372</v>
      </c>
      <c r="E707" s="1529"/>
      <c r="F707" s="1529"/>
      <c r="G707" s="1529"/>
      <c r="H707" s="1529"/>
      <c r="I707" s="1529"/>
      <c r="J707" s="1529"/>
      <c r="K707" s="1529"/>
      <c r="L707" s="1529"/>
      <c r="M707" s="1529"/>
      <c r="N707" s="1529"/>
      <c r="O707" s="1529"/>
      <c r="P707" s="1529"/>
      <c r="Q707" s="1529"/>
      <c r="R707" s="1529"/>
      <c r="S707" s="1529"/>
      <c r="T707" s="1529"/>
      <c r="U707" s="1529"/>
      <c r="V707" s="1529"/>
      <c r="W707" s="1529"/>
      <c r="X707" s="1529"/>
      <c r="Y707" s="1529"/>
      <c r="Z707" s="1529"/>
      <c r="AA707" s="1529"/>
      <c r="AB707" s="1529"/>
      <c r="AC707" s="1529"/>
      <c r="AD707" s="1529"/>
      <c r="AE707" s="1529"/>
      <c r="AF707" s="1529"/>
      <c r="AG707" s="1529"/>
    </row>
    <row r="708" spans="1:33" ht="27" hidden="1" thickBot="1">
      <c r="A708" s="1530"/>
      <c r="B708" s="1532"/>
      <c r="C708" s="1530"/>
      <c r="D708" s="1410" t="s">
        <v>2369</v>
      </c>
      <c r="E708" s="1528" t="s">
        <v>2129</v>
      </c>
      <c r="F708" s="1528" t="s">
        <v>2129</v>
      </c>
      <c r="G708" s="1528" t="s">
        <v>2129</v>
      </c>
      <c r="H708" s="1528" t="s">
        <v>2129</v>
      </c>
      <c r="I708" s="1528" t="s">
        <v>2129</v>
      </c>
      <c r="J708" s="1528" t="s">
        <v>2129</v>
      </c>
      <c r="K708" s="1528" t="s">
        <v>2129</v>
      </c>
      <c r="L708" s="1528" t="s">
        <v>2286</v>
      </c>
      <c r="M708" s="1528">
        <v>166</v>
      </c>
      <c r="N708" s="1528">
        <v>154</v>
      </c>
      <c r="O708" s="1528">
        <v>154</v>
      </c>
      <c r="P708" s="1528"/>
      <c r="Q708" s="1528"/>
      <c r="R708" s="1528"/>
      <c r="S708" s="1528" t="s">
        <v>2129</v>
      </c>
      <c r="T708" s="1528" t="s">
        <v>2129</v>
      </c>
      <c r="U708" s="1528" t="s">
        <v>2129</v>
      </c>
      <c r="V708" s="1528" t="s">
        <v>2129</v>
      </c>
      <c r="W708" s="1528" t="s">
        <v>2129</v>
      </c>
      <c r="X708" s="1528" t="s">
        <v>2129</v>
      </c>
      <c r="Y708" s="1528" t="s">
        <v>2129</v>
      </c>
      <c r="Z708" s="1528" t="s">
        <v>2129</v>
      </c>
      <c r="AA708" s="1528" t="s">
        <v>2129</v>
      </c>
      <c r="AB708" s="1528" t="s">
        <v>2129</v>
      </c>
      <c r="AC708" s="1528" t="s">
        <v>2129</v>
      </c>
      <c r="AD708" s="1528" t="s">
        <v>2129</v>
      </c>
      <c r="AE708" s="1528" t="s">
        <v>2129</v>
      </c>
      <c r="AF708" s="1528" t="s">
        <v>2129</v>
      </c>
      <c r="AG708" s="1528" t="s">
        <v>2129</v>
      </c>
    </row>
    <row r="709" spans="1:33" ht="84.75" hidden="1" thickBot="1">
      <c r="A709" s="1530"/>
      <c r="B709" s="1532"/>
      <c r="C709" s="1530"/>
      <c r="D709" s="1409" t="s">
        <v>2674</v>
      </c>
      <c r="E709" s="1529"/>
      <c r="F709" s="1529"/>
      <c r="G709" s="1529"/>
      <c r="H709" s="1529"/>
      <c r="I709" s="1529"/>
      <c r="J709" s="1529"/>
      <c r="K709" s="1529"/>
      <c r="L709" s="1529"/>
      <c r="M709" s="1529"/>
      <c r="N709" s="1529"/>
      <c r="O709" s="1529"/>
      <c r="P709" s="1529"/>
      <c r="Q709" s="1529"/>
      <c r="R709" s="1529"/>
      <c r="S709" s="1529"/>
      <c r="T709" s="1529"/>
      <c r="U709" s="1529"/>
      <c r="V709" s="1529"/>
      <c r="W709" s="1529"/>
      <c r="X709" s="1529"/>
      <c r="Y709" s="1529"/>
      <c r="Z709" s="1529"/>
      <c r="AA709" s="1529"/>
      <c r="AB709" s="1529"/>
      <c r="AC709" s="1529"/>
      <c r="AD709" s="1529"/>
      <c r="AE709" s="1529"/>
      <c r="AF709" s="1529"/>
      <c r="AG709" s="1529"/>
    </row>
    <row r="710" spans="1:33" ht="27" hidden="1" thickBot="1">
      <c r="A710" s="1530"/>
      <c r="B710" s="1532"/>
      <c r="C710" s="1530"/>
      <c r="D710" s="1410" t="s">
        <v>2375</v>
      </c>
      <c r="E710" s="1528" t="s">
        <v>2129</v>
      </c>
      <c r="F710" s="1528" t="s">
        <v>2129</v>
      </c>
      <c r="G710" s="1528" t="s">
        <v>2129</v>
      </c>
      <c r="H710" s="1528" t="s">
        <v>2129</v>
      </c>
      <c r="I710" s="1528" t="s">
        <v>2129</v>
      </c>
      <c r="J710" s="1528" t="s">
        <v>2129</v>
      </c>
      <c r="K710" s="1528" t="s">
        <v>2129</v>
      </c>
      <c r="L710" s="1528" t="s">
        <v>2286</v>
      </c>
      <c r="M710" s="1528">
        <v>166</v>
      </c>
      <c r="N710" s="1528">
        <v>154</v>
      </c>
      <c r="O710" s="1528">
        <v>154</v>
      </c>
      <c r="P710" s="1528"/>
      <c r="Q710" s="1528"/>
      <c r="R710" s="1528"/>
      <c r="S710" s="1528" t="s">
        <v>2129</v>
      </c>
      <c r="T710" s="1528" t="s">
        <v>2129</v>
      </c>
      <c r="U710" s="1528" t="s">
        <v>2129</v>
      </c>
      <c r="V710" s="1528" t="s">
        <v>2129</v>
      </c>
      <c r="W710" s="1528" t="s">
        <v>2129</v>
      </c>
      <c r="X710" s="1528" t="s">
        <v>2129</v>
      </c>
      <c r="Y710" s="1528" t="s">
        <v>2129</v>
      </c>
      <c r="Z710" s="1528" t="s">
        <v>2129</v>
      </c>
      <c r="AA710" s="1528" t="s">
        <v>2129</v>
      </c>
      <c r="AB710" s="1528" t="s">
        <v>2129</v>
      </c>
      <c r="AC710" s="1528" t="s">
        <v>2129</v>
      </c>
      <c r="AD710" s="1528" t="s">
        <v>2129</v>
      </c>
      <c r="AE710" s="1528" t="s">
        <v>2129</v>
      </c>
      <c r="AF710" s="1528" t="s">
        <v>2129</v>
      </c>
      <c r="AG710" s="1528" t="s">
        <v>2129</v>
      </c>
    </row>
    <row r="711" spans="1:33" ht="84.75" hidden="1" thickBot="1">
      <c r="A711" s="1530"/>
      <c r="B711" s="1532"/>
      <c r="C711" s="1530"/>
      <c r="D711" s="1409" t="s">
        <v>2733</v>
      </c>
      <c r="E711" s="1529"/>
      <c r="F711" s="1529"/>
      <c r="G711" s="1529"/>
      <c r="H711" s="1529"/>
      <c r="I711" s="1529"/>
      <c r="J711" s="1529"/>
      <c r="K711" s="1529"/>
      <c r="L711" s="1529"/>
      <c r="M711" s="1529"/>
      <c r="N711" s="1529"/>
      <c r="O711" s="1529"/>
      <c r="P711" s="1529"/>
      <c r="Q711" s="1529"/>
      <c r="R711" s="1529"/>
      <c r="S711" s="1529"/>
      <c r="T711" s="1529"/>
      <c r="U711" s="1529"/>
      <c r="V711" s="1529"/>
      <c r="W711" s="1529"/>
      <c r="X711" s="1529"/>
      <c r="Y711" s="1529"/>
      <c r="Z711" s="1529"/>
      <c r="AA711" s="1529"/>
      <c r="AB711" s="1529"/>
      <c r="AC711" s="1529"/>
      <c r="AD711" s="1529"/>
      <c r="AE711" s="1529"/>
      <c r="AF711" s="1529"/>
      <c r="AG711" s="1529"/>
    </row>
    <row r="712" spans="1:33" ht="18.75" hidden="1" thickBot="1">
      <c r="A712" s="1530"/>
      <c r="B712" s="1532"/>
      <c r="C712" s="1530"/>
      <c r="D712" s="1410" t="s">
        <v>2734</v>
      </c>
      <c r="E712" s="1528" t="s">
        <v>2129</v>
      </c>
      <c r="F712" s="1528" t="s">
        <v>2129</v>
      </c>
      <c r="G712" s="1528" t="s">
        <v>2129</v>
      </c>
      <c r="H712" s="1528" t="s">
        <v>2129</v>
      </c>
      <c r="I712" s="1528" t="s">
        <v>2129</v>
      </c>
      <c r="J712" s="1528" t="s">
        <v>2129</v>
      </c>
      <c r="K712" s="1528" t="s">
        <v>2129</v>
      </c>
      <c r="L712" s="1528" t="s">
        <v>2286</v>
      </c>
      <c r="M712" s="1528">
        <v>166</v>
      </c>
      <c r="N712" s="1528">
        <v>63</v>
      </c>
      <c r="O712" s="1528">
        <v>63</v>
      </c>
      <c r="P712" s="1528"/>
      <c r="Q712" s="1528"/>
      <c r="R712" s="1528"/>
      <c r="S712" s="1528" t="s">
        <v>2129</v>
      </c>
      <c r="T712" s="1528" t="s">
        <v>2129</v>
      </c>
      <c r="U712" s="1528" t="s">
        <v>2129</v>
      </c>
      <c r="V712" s="1528" t="s">
        <v>2129</v>
      </c>
      <c r="W712" s="1528" t="s">
        <v>2129</v>
      </c>
      <c r="X712" s="1528" t="s">
        <v>2129</v>
      </c>
      <c r="Y712" s="1528" t="s">
        <v>2129</v>
      </c>
      <c r="Z712" s="1528" t="s">
        <v>2129</v>
      </c>
      <c r="AA712" s="1528" t="s">
        <v>2129</v>
      </c>
      <c r="AB712" s="1528" t="s">
        <v>2129</v>
      </c>
      <c r="AC712" s="1528" t="s">
        <v>2129</v>
      </c>
      <c r="AD712" s="1528" t="s">
        <v>2129</v>
      </c>
      <c r="AE712" s="1528" t="s">
        <v>2129</v>
      </c>
      <c r="AF712" s="1528" t="s">
        <v>2129</v>
      </c>
      <c r="AG712" s="1528" t="s">
        <v>2129</v>
      </c>
    </row>
    <row r="713" spans="1:33" ht="101.25" hidden="1" thickBot="1">
      <c r="A713" s="1529"/>
      <c r="B713" s="1533"/>
      <c r="C713" s="1529"/>
      <c r="D713" s="1409" t="s">
        <v>2735</v>
      </c>
      <c r="E713" s="1529"/>
      <c r="F713" s="1529"/>
      <c r="G713" s="1529"/>
      <c r="H713" s="1529"/>
      <c r="I713" s="1529"/>
      <c r="J713" s="1529"/>
      <c r="K713" s="1529"/>
      <c r="L713" s="1529"/>
      <c r="M713" s="1529"/>
      <c r="N713" s="1529"/>
      <c r="O713" s="1529"/>
      <c r="P713" s="1529"/>
      <c r="Q713" s="1529"/>
      <c r="R713" s="1529"/>
      <c r="S713" s="1529"/>
      <c r="T713" s="1529"/>
      <c r="U713" s="1529"/>
      <c r="V713" s="1529"/>
      <c r="W713" s="1529"/>
      <c r="X713" s="1529"/>
      <c r="Y713" s="1529"/>
      <c r="Z713" s="1529"/>
      <c r="AA713" s="1529"/>
      <c r="AB713" s="1529"/>
      <c r="AC713" s="1529"/>
      <c r="AD713" s="1529"/>
      <c r="AE713" s="1529"/>
      <c r="AF713" s="1529"/>
      <c r="AG713" s="1529"/>
    </row>
    <row r="714" spans="1:33" ht="23.25" hidden="1" customHeight="1" thickBot="1">
      <c r="A714" s="1528">
        <v>85</v>
      </c>
      <c r="B714" s="1531">
        <v>1.7224300000000002E+35</v>
      </c>
      <c r="C714" s="1528" t="s">
        <v>2736</v>
      </c>
      <c r="D714" s="1528" t="s">
        <v>2737</v>
      </c>
      <c r="E714" s="1528" t="s">
        <v>2738</v>
      </c>
      <c r="F714" s="1528"/>
      <c r="G714" s="1528">
        <v>10806.3</v>
      </c>
      <c r="H714" s="1528">
        <v>10806.3</v>
      </c>
      <c r="I714" s="1528">
        <v>0</v>
      </c>
      <c r="J714" s="1528">
        <v>0</v>
      </c>
      <c r="K714" s="1528">
        <v>0</v>
      </c>
      <c r="L714" s="1528" t="s">
        <v>2129</v>
      </c>
      <c r="M714" s="1528" t="s">
        <v>2129</v>
      </c>
      <c r="N714" s="1528" t="s">
        <v>2129</v>
      </c>
      <c r="O714" s="1528" t="s">
        <v>2129</v>
      </c>
      <c r="P714" s="1528" t="s">
        <v>2129</v>
      </c>
      <c r="Q714" s="1528" t="s">
        <v>2129</v>
      </c>
      <c r="R714" s="1528" t="s">
        <v>2129</v>
      </c>
      <c r="S714" s="1410" t="s">
        <v>2149</v>
      </c>
      <c r="T714" s="1528">
        <v>108.06</v>
      </c>
      <c r="U714" s="1528">
        <v>540.32000000000005</v>
      </c>
      <c r="V714" s="1528">
        <v>1.2017</v>
      </c>
      <c r="W714" s="1528">
        <v>6.2016999999999998</v>
      </c>
      <c r="X714" s="1528" t="s">
        <v>2281</v>
      </c>
      <c r="Y714" s="1528" t="s">
        <v>2132</v>
      </c>
      <c r="Z714" s="1528" t="s">
        <v>2132</v>
      </c>
      <c r="AA714" s="1528"/>
      <c r="AB714" s="1528"/>
      <c r="AC714" s="1528"/>
      <c r="AD714" s="1528"/>
      <c r="AE714" s="1528"/>
      <c r="AF714" s="1528"/>
      <c r="AG714" s="1528" t="s">
        <v>2283</v>
      </c>
    </row>
    <row r="715" spans="1:33" ht="93" hidden="1" thickBot="1">
      <c r="A715" s="1530"/>
      <c r="B715" s="1532"/>
      <c r="C715" s="1530"/>
      <c r="D715" s="1529"/>
      <c r="E715" s="1529"/>
      <c r="F715" s="1529"/>
      <c r="G715" s="1529"/>
      <c r="H715" s="1529"/>
      <c r="I715" s="1529"/>
      <c r="J715" s="1529"/>
      <c r="K715" s="1529"/>
      <c r="L715" s="1529"/>
      <c r="M715" s="1529"/>
      <c r="N715" s="1529"/>
      <c r="O715" s="1529"/>
      <c r="P715" s="1529"/>
      <c r="Q715" s="1529"/>
      <c r="R715" s="1529"/>
      <c r="S715" s="1409" t="s">
        <v>2739</v>
      </c>
      <c r="T715" s="1529"/>
      <c r="U715" s="1529"/>
      <c r="V715" s="1529"/>
      <c r="W715" s="1529"/>
      <c r="X715" s="1529"/>
      <c r="Y715" s="1529"/>
      <c r="Z715" s="1529"/>
      <c r="AA715" s="1529"/>
      <c r="AB715" s="1529"/>
      <c r="AC715" s="1529"/>
      <c r="AD715" s="1529"/>
      <c r="AE715" s="1529"/>
      <c r="AF715" s="1529"/>
      <c r="AG715" s="1529"/>
    </row>
    <row r="716" spans="1:33" ht="15.75" hidden="1" thickBot="1">
      <c r="A716" s="1530"/>
      <c r="B716" s="1532"/>
      <c r="C716" s="1530"/>
      <c r="D716" s="1410" t="s">
        <v>503</v>
      </c>
      <c r="E716" s="1528" t="s">
        <v>2129</v>
      </c>
      <c r="F716" s="1528" t="s">
        <v>2129</v>
      </c>
      <c r="G716" s="1528" t="s">
        <v>2129</v>
      </c>
      <c r="H716" s="1528" t="s">
        <v>2129</v>
      </c>
      <c r="I716" s="1528" t="s">
        <v>2129</v>
      </c>
      <c r="J716" s="1528" t="s">
        <v>2129</v>
      </c>
      <c r="K716" s="1528" t="s">
        <v>2129</v>
      </c>
      <c r="L716" s="1528" t="s">
        <v>2286</v>
      </c>
      <c r="M716" s="1528">
        <v>166</v>
      </c>
      <c r="N716" s="1528">
        <v>150</v>
      </c>
      <c r="O716" s="1528">
        <v>150</v>
      </c>
      <c r="P716" s="1528"/>
      <c r="Q716" s="1528"/>
      <c r="R716" s="1528"/>
      <c r="S716" s="1528" t="s">
        <v>2129</v>
      </c>
      <c r="T716" s="1528" t="s">
        <v>2129</v>
      </c>
      <c r="U716" s="1528" t="s">
        <v>2129</v>
      </c>
      <c r="V716" s="1528" t="s">
        <v>2129</v>
      </c>
      <c r="W716" s="1528" t="s">
        <v>2129</v>
      </c>
      <c r="X716" s="1528" t="s">
        <v>2129</v>
      </c>
      <c r="Y716" s="1528" t="s">
        <v>2129</v>
      </c>
      <c r="Z716" s="1528" t="s">
        <v>2129</v>
      </c>
      <c r="AA716" s="1528" t="s">
        <v>2129</v>
      </c>
      <c r="AB716" s="1528" t="s">
        <v>2129</v>
      </c>
      <c r="AC716" s="1528" t="s">
        <v>2129</v>
      </c>
      <c r="AD716" s="1528" t="s">
        <v>2129</v>
      </c>
      <c r="AE716" s="1528" t="s">
        <v>2129</v>
      </c>
      <c r="AF716" s="1528" t="s">
        <v>2129</v>
      </c>
      <c r="AG716" s="1528" t="s">
        <v>2129</v>
      </c>
    </row>
    <row r="717" spans="1:33" ht="68.25" hidden="1" thickBot="1">
      <c r="A717" s="1530"/>
      <c r="B717" s="1532"/>
      <c r="C717" s="1530"/>
      <c r="D717" s="1409" t="s">
        <v>2723</v>
      </c>
      <c r="E717" s="1529"/>
      <c r="F717" s="1529"/>
      <c r="G717" s="1529"/>
      <c r="H717" s="1529"/>
      <c r="I717" s="1529"/>
      <c r="J717" s="1529"/>
      <c r="K717" s="1529"/>
      <c r="L717" s="1529"/>
      <c r="M717" s="1529"/>
      <c r="N717" s="1529"/>
      <c r="O717" s="1529"/>
      <c r="P717" s="1529"/>
      <c r="Q717" s="1529"/>
      <c r="R717" s="1529"/>
      <c r="S717" s="1529"/>
      <c r="T717" s="1529"/>
      <c r="U717" s="1529"/>
      <c r="V717" s="1529"/>
      <c r="W717" s="1529"/>
      <c r="X717" s="1529"/>
      <c r="Y717" s="1529"/>
      <c r="Z717" s="1529"/>
      <c r="AA717" s="1529"/>
      <c r="AB717" s="1529"/>
      <c r="AC717" s="1529"/>
      <c r="AD717" s="1529"/>
      <c r="AE717" s="1529"/>
      <c r="AF717" s="1529"/>
      <c r="AG717" s="1529"/>
    </row>
    <row r="718" spans="1:33" ht="15.75" hidden="1" thickBot="1">
      <c r="A718" s="1530"/>
      <c r="B718" s="1532"/>
      <c r="C718" s="1530"/>
      <c r="D718" s="1409" t="s">
        <v>2740</v>
      </c>
      <c r="E718" s="1409" t="s">
        <v>2129</v>
      </c>
      <c r="F718" s="1409" t="s">
        <v>2129</v>
      </c>
      <c r="G718" s="1409" t="s">
        <v>2129</v>
      </c>
      <c r="H718" s="1409" t="s">
        <v>2129</v>
      </c>
      <c r="I718" s="1409" t="s">
        <v>2129</v>
      </c>
      <c r="J718" s="1409" t="s">
        <v>2129</v>
      </c>
      <c r="K718" s="1409" t="s">
        <v>2129</v>
      </c>
      <c r="L718" s="1409" t="s">
        <v>2286</v>
      </c>
      <c r="M718" s="1409">
        <v>166</v>
      </c>
      <c r="N718" s="1409">
        <v>30</v>
      </c>
      <c r="O718" s="1409">
        <v>30</v>
      </c>
      <c r="P718" s="1409"/>
      <c r="Q718" s="1409"/>
      <c r="R718" s="1409"/>
      <c r="S718" s="1409" t="s">
        <v>2129</v>
      </c>
      <c r="T718" s="1409" t="s">
        <v>2129</v>
      </c>
      <c r="U718" s="1409" t="s">
        <v>2129</v>
      </c>
      <c r="V718" s="1409" t="s">
        <v>2129</v>
      </c>
      <c r="W718" s="1409" t="s">
        <v>2129</v>
      </c>
      <c r="X718" s="1409" t="s">
        <v>2129</v>
      </c>
      <c r="Y718" s="1409" t="s">
        <v>2129</v>
      </c>
      <c r="Z718" s="1409" t="s">
        <v>2129</v>
      </c>
      <c r="AA718" s="1409" t="s">
        <v>2129</v>
      </c>
      <c r="AB718" s="1409" t="s">
        <v>2129</v>
      </c>
      <c r="AC718" s="1409" t="s">
        <v>2129</v>
      </c>
      <c r="AD718" s="1409" t="s">
        <v>2129</v>
      </c>
      <c r="AE718" s="1409" t="s">
        <v>2129</v>
      </c>
      <c r="AF718" s="1409" t="s">
        <v>2129</v>
      </c>
      <c r="AG718" s="1409" t="s">
        <v>2129</v>
      </c>
    </row>
    <row r="719" spans="1:33" ht="15.75" hidden="1" thickBot="1">
      <c r="A719" s="1530"/>
      <c r="B719" s="1532"/>
      <c r="C719" s="1530"/>
      <c r="D719" s="1410" t="s">
        <v>2418</v>
      </c>
      <c r="E719" s="1528" t="s">
        <v>2129</v>
      </c>
      <c r="F719" s="1528" t="s">
        <v>2129</v>
      </c>
      <c r="G719" s="1528" t="s">
        <v>2129</v>
      </c>
      <c r="H719" s="1528" t="s">
        <v>2129</v>
      </c>
      <c r="I719" s="1528" t="s">
        <v>2129</v>
      </c>
      <c r="J719" s="1528" t="s">
        <v>2129</v>
      </c>
      <c r="K719" s="1528" t="s">
        <v>2129</v>
      </c>
      <c r="L719" s="1528" t="s">
        <v>2410</v>
      </c>
      <c r="M719" s="1528">
        <v>163</v>
      </c>
      <c r="N719" s="1528">
        <v>2000</v>
      </c>
      <c r="O719" s="1528">
        <v>2000</v>
      </c>
      <c r="P719" s="1528"/>
      <c r="Q719" s="1528"/>
      <c r="R719" s="1528"/>
      <c r="S719" s="1528" t="s">
        <v>2129</v>
      </c>
      <c r="T719" s="1528" t="s">
        <v>2129</v>
      </c>
      <c r="U719" s="1528" t="s">
        <v>2129</v>
      </c>
      <c r="V719" s="1528" t="s">
        <v>2129</v>
      </c>
      <c r="W719" s="1528" t="s">
        <v>2129</v>
      </c>
      <c r="X719" s="1528" t="s">
        <v>2129</v>
      </c>
      <c r="Y719" s="1528" t="s">
        <v>2129</v>
      </c>
      <c r="Z719" s="1528" t="s">
        <v>2129</v>
      </c>
      <c r="AA719" s="1528" t="s">
        <v>2129</v>
      </c>
      <c r="AB719" s="1528" t="s">
        <v>2129</v>
      </c>
      <c r="AC719" s="1528" t="s">
        <v>2129</v>
      </c>
      <c r="AD719" s="1528" t="s">
        <v>2129</v>
      </c>
      <c r="AE719" s="1528" t="s">
        <v>2129</v>
      </c>
      <c r="AF719" s="1528" t="s">
        <v>2129</v>
      </c>
      <c r="AG719" s="1528" t="s">
        <v>2129</v>
      </c>
    </row>
    <row r="720" spans="1:33" ht="68.25" hidden="1" thickBot="1">
      <c r="A720" s="1530"/>
      <c r="B720" s="1532"/>
      <c r="C720" s="1530"/>
      <c r="D720" s="1409" t="s">
        <v>2741</v>
      </c>
      <c r="E720" s="1529"/>
      <c r="F720" s="1529"/>
      <c r="G720" s="1529"/>
      <c r="H720" s="1529"/>
      <c r="I720" s="1529"/>
      <c r="J720" s="1529"/>
      <c r="K720" s="1529"/>
      <c r="L720" s="1529"/>
      <c r="M720" s="1529"/>
      <c r="N720" s="1529"/>
      <c r="O720" s="1529"/>
      <c r="P720" s="1529"/>
      <c r="Q720" s="1529"/>
      <c r="R720" s="1529"/>
      <c r="S720" s="1529"/>
      <c r="T720" s="1529"/>
      <c r="U720" s="1529"/>
      <c r="V720" s="1529"/>
      <c r="W720" s="1529"/>
      <c r="X720" s="1529"/>
      <c r="Y720" s="1529"/>
      <c r="Z720" s="1529"/>
      <c r="AA720" s="1529"/>
      <c r="AB720" s="1529"/>
      <c r="AC720" s="1529"/>
      <c r="AD720" s="1529"/>
      <c r="AE720" s="1529"/>
      <c r="AF720" s="1529"/>
      <c r="AG720" s="1529"/>
    </row>
    <row r="721" spans="1:33" ht="35.25" hidden="1" thickBot="1">
      <c r="A721" s="1530"/>
      <c r="B721" s="1532"/>
      <c r="C721" s="1530"/>
      <c r="D721" s="1409" t="s">
        <v>2742</v>
      </c>
      <c r="E721" s="1409" t="s">
        <v>2129</v>
      </c>
      <c r="F721" s="1409" t="s">
        <v>2129</v>
      </c>
      <c r="G721" s="1409" t="s">
        <v>2129</v>
      </c>
      <c r="H721" s="1409" t="s">
        <v>2129</v>
      </c>
      <c r="I721" s="1409" t="s">
        <v>2129</v>
      </c>
      <c r="J721" s="1409" t="s">
        <v>2129</v>
      </c>
      <c r="K721" s="1409" t="s">
        <v>2129</v>
      </c>
      <c r="L721" s="1409" t="s">
        <v>2410</v>
      </c>
      <c r="M721" s="1409">
        <v>163</v>
      </c>
      <c r="N721" s="1409">
        <v>2000</v>
      </c>
      <c r="O721" s="1409">
        <v>2000</v>
      </c>
      <c r="P721" s="1409"/>
      <c r="Q721" s="1409"/>
      <c r="R721" s="1409"/>
      <c r="S721" s="1409" t="s">
        <v>2129</v>
      </c>
      <c r="T721" s="1409" t="s">
        <v>2129</v>
      </c>
      <c r="U721" s="1409" t="s">
        <v>2129</v>
      </c>
      <c r="V721" s="1409" t="s">
        <v>2129</v>
      </c>
      <c r="W721" s="1409" t="s">
        <v>2129</v>
      </c>
      <c r="X721" s="1409" t="s">
        <v>2129</v>
      </c>
      <c r="Y721" s="1409" t="s">
        <v>2129</v>
      </c>
      <c r="Z721" s="1409" t="s">
        <v>2129</v>
      </c>
      <c r="AA721" s="1409" t="s">
        <v>2129</v>
      </c>
      <c r="AB721" s="1409" t="s">
        <v>2129</v>
      </c>
      <c r="AC721" s="1409" t="s">
        <v>2129</v>
      </c>
      <c r="AD721" s="1409" t="s">
        <v>2129</v>
      </c>
      <c r="AE721" s="1409" t="s">
        <v>2129</v>
      </c>
      <c r="AF721" s="1409" t="s">
        <v>2129</v>
      </c>
      <c r="AG721" s="1409" t="s">
        <v>2129</v>
      </c>
    </row>
    <row r="722" spans="1:33" ht="15.75" hidden="1" thickBot="1">
      <c r="A722" s="1530"/>
      <c r="B722" s="1532"/>
      <c r="C722" s="1530"/>
      <c r="D722" s="1410" t="s">
        <v>2417</v>
      </c>
      <c r="E722" s="1528" t="s">
        <v>2129</v>
      </c>
      <c r="F722" s="1528" t="s">
        <v>2129</v>
      </c>
      <c r="G722" s="1528" t="s">
        <v>2129</v>
      </c>
      <c r="H722" s="1528" t="s">
        <v>2129</v>
      </c>
      <c r="I722" s="1528" t="s">
        <v>2129</v>
      </c>
      <c r="J722" s="1528" t="s">
        <v>2129</v>
      </c>
      <c r="K722" s="1528" t="s">
        <v>2129</v>
      </c>
      <c r="L722" s="1528" t="s">
        <v>2410</v>
      </c>
      <c r="M722" s="1528">
        <v>163</v>
      </c>
      <c r="N722" s="1528">
        <v>2000</v>
      </c>
      <c r="O722" s="1528">
        <v>2000</v>
      </c>
      <c r="P722" s="1528"/>
      <c r="Q722" s="1528"/>
      <c r="R722" s="1528"/>
      <c r="S722" s="1528" t="s">
        <v>2129</v>
      </c>
      <c r="T722" s="1528" t="s">
        <v>2129</v>
      </c>
      <c r="U722" s="1528" t="s">
        <v>2129</v>
      </c>
      <c r="V722" s="1528" t="s">
        <v>2129</v>
      </c>
      <c r="W722" s="1528" t="s">
        <v>2129</v>
      </c>
      <c r="X722" s="1528" t="s">
        <v>2129</v>
      </c>
      <c r="Y722" s="1528" t="s">
        <v>2129</v>
      </c>
      <c r="Z722" s="1528" t="s">
        <v>2129</v>
      </c>
      <c r="AA722" s="1528" t="s">
        <v>2129</v>
      </c>
      <c r="AB722" s="1528" t="s">
        <v>2129</v>
      </c>
      <c r="AC722" s="1528" t="s">
        <v>2129</v>
      </c>
      <c r="AD722" s="1528" t="s">
        <v>2129</v>
      </c>
      <c r="AE722" s="1528" t="s">
        <v>2129</v>
      </c>
      <c r="AF722" s="1528" t="s">
        <v>2129</v>
      </c>
      <c r="AG722" s="1528" t="s">
        <v>2129</v>
      </c>
    </row>
    <row r="723" spans="1:33" ht="68.25" hidden="1" thickBot="1">
      <c r="A723" s="1530"/>
      <c r="B723" s="1532"/>
      <c r="C723" s="1530"/>
      <c r="D723" s="1409" t="s">
        <v>2743</v>
      </c>
      <c r="E723" s="1529"/>
      <c r="F723" s="1529"/>
      <c r="G723" s="1529"/>
      <c r="H723" s="1529"/>
      <c r="I723" s="1529"/>
      <c r="J723" s="1529"/>
      <c r="K723" s="1529"/>
      <c r="L723" s="1529"/>
      <c r="M723" s="1529"/>
      <c r="N723" s="1529"/>
      <c r="O723" s="1529"/>
      <c r="P723" s="1529"/>
      <c r="Q723" s="1529"/>
      <c r="R723" s="1529"/>
      <c r="S723" s="1529"/>
      <c r="T723" s="1529"/>
      <c r="U723" s="1529"/>
      <c r="V723" s="1529"/>
      <c r="W723" s="1529"/>
      <c r="X723" s="1529"/>
      <c r="Y723" s="1529"/>
      <c r="Z723" s="1529"/>
      <c r="AA723" s="1529"/>
      <c r="AB723" s="1529"/>
      <c r="AC723" s="1529"/>
      <c r="AD723" s="1529"/>
      <c r="AE723" s="1529"/>
      <c r="AF723" s="1529"/>
      <c r="AG723" s="1529"/>
    </row>
    <row r="724" spans="1:33" ht="18.75" hidden="1" thickBot="1">
      <c r="A724" s="1530"/>
      <c r="B724" s="1532"/>
      <c r="C724" s="1530"/>
      <c r="D724" s="1410" t="s">
        <v>2744</v>
      </c>
      <c r="E724" s="1528" t="s">
        <v>2129</v>
      </c>
      <c r="F724" s="1528" t="s">
        <v>2129</v>
      </c>
      <c r="G724" s="1528" t="s">
        <v>2129</v>
      </c>
      <c r="H724" s="1528" t="s">
        <v>2129</v>
      </c>
      <c r="I724" s="1528" t="s">
        <v>2129</v>
      </c>
      <c r="J724" s="1528" t="s">
        <v>2129</v>
      </c>
      <c r="K724" s="1528" t="s">
        <v>2129</v>
      </c>
      <c r="L724" s="1528" t="s">
        <v>2286</v>
      </c>
      <c r="M724" s="1528">
        <v>166</v>
      </c>
      <c r="N724" s="1528">
        <v>10</v>
      </c>
      <c r="O724" s="1528">
        <v>10</v>
      </c>
      <c r="P724" s="1528"/>
      <c r="Q724" s="1528"/>
      <c r="R724" s="1528"/>
      <c r="S724" s="1528" t="s">
        <v>2129</v>
      </c>
      <c r="T724" s="1528" t="s">
        <v>2129</v>
      </c>
      <c r="U724" s="1528" t="s">
        <v>2129</v>
      </c>
      <c r="V724" s="1528" t="s">
        <v>2129</v>
      </c>
      <c r="W724" s="1528" t="s">
        <v>2129</v>
      </c>
      <c r="X724" s="1528" t="s">
        <v>2129</v>
      </c>
      <c r="Y724" s="1528" t="s">
        <v>2129</v>
      </c>
      <c r="Z724" s="1528" t="s">
        <v>2129</v>
      </c>
      <c r="AA724" s="1528" t="s">
        <v>2129</v>
      </c>
      <c r="AB724" s="1528" t="s">
        <v>2129</v>
      </c>
      <c r="AC724" s="1528" t="s">
        <v>2129</v>
      </c>
      <c r="AD724" s="1528" t="s">
        <v>2129</v>
      </c>
      <c r="AE724" s="1528" t="s">
        <v>2129</v>
      </c>
      <c r="AF724" s="1528" t="s">
        <v>2129</v>
      </c>
      <c r="AG724" s="1528" t="s">
        <v>2129</v>
      </c>
    </row>
    <row r="725" spans="1:33" ht="68.25" hidden="1" thickBot="1">
      <c r="A725" s="1530"/>
      <c r="B725" s="1532"/>
      <c r="C725" s="1530"/>
      <c r="D725" s="1409" t="s">
        <v>2745</v>
      </c>
      <c r="E725" s="1529"/>
      <c r="F725" s="1529"/>
      <c r="G725" s="1529"/>
      <c r="H725" s="1529"/>
      <c r="I725" s="1529"/>
      <c r="J725" s="1529"/>
      <c r="K725" s="1529"/>
      <c r="L725" s="1529"/>
      <c r="M725" s="1529"/>
      <c r="N725" s="1529"/>
      <c r="O725" s="1529"/>
      <c r="P725" s="1529"/>
      <c r="Q725" s="1529"/>
      <c r="R725" s="1529"/>
      <c r="S725" s="1529"/>
      <c r="T725" s="1529"/>
      <c r="U725" s="1529"/>
      <c r="V725" s="1529"/>
      <c r="W725" s="1529"/>
      <c r="X725" s="1529"/>
      <c r="Y725" s="1529"/>
      <c r="Z725" s="1529"/>
      <c r="AA725" s="1529"/>
      <c r="AB725" s="1529"/>
      <c r="AC725" s="1529"/>
      <c r="AD725" s="1529"/>
      <c r="AE725" s="1529"/>
      <c r="AF725" s="1529"/>
      <c r="AG725" s="1529"/>
    </row>
    <row r="726" spans="1:33" ht="18.75" hidden="1" thickBot="1">
      <c r="A726" s="1530"/>
      <c r="B726" s="1532"/>
      <c r="C726" s="1530"/>
      <c r="D726" s="1410" t="s">
        <v>2409</v>
      </c>
      <c r="E726" s="1528" t="s">
        <v>2129</v>
      </c>
      <c r="F726" s="1528" t="s">
        <v>2129</v>
      </c>
      <c r="G726" s="1528" t="s">
        <v>2129</v>
      </c>
      <c r="H726" s="1528" t="s">
        <v>2129</v>
      </c>
      <c r="I726" s="1528" t="s">
        <v>2129</v>
      </c>
      <c r="J726" s="1528" t="s">
        <v>2129</v>
      </c>
      <c r="K726" s="1528" t="s">
        <v>2129</v>
      </c>
      <c r="L726" s="1528" t="s">
        <v>2410</v>
      </c>
      <c r="M726" s="1528">
        <v>163</v>
      </c>
      <c r="N726" s="1528">
        <v>1500</v>
      </c>
      <c r="O726" s="1528">
        <v>1500</v>
      </c>
      <c r="P726" s="1528"/>
      <c r="Q726" s="1528"/>
      <c r="R726" s="1528"/>
      <c r="S726" s="1528" t="s">
        <v>2129</v>
      </c>
      <c r="T726" s="1528" t="s">
        <v>2129</v>
      </c>
      <c r="U726" s="1528" t="s">
        <v>2129</v>
      </c>
      <c r="V726" s="1528" t="s">
        <v>2129</v>
      </c>
      <c r="W726" s="1528" t="s">
        <v>2129</v>
      </c>
      <c r="X726" s="1528" t="s">
        <v>2129</v>
      </c>
      <c r="Y726" s="1528" t="s">
        <v>2129</v>
      </c>
      <c r="Z726" s="1528" t="s">
        <v>2129</v>
      </c>
      <c r="AA726" s="1528" t="s">
        <v>2129</v>
      </c>
      <c r="AB726" s="1528" t="s">
        <v>2129</v>
      </c>
      <c r="AC726" s="1528" t="s">
        <v>2129</v>
      </c>
      <c r="AD726" s="1528" t="s">
        <v>2129</v>
      </c>
      <c r="AE726" s="1528" t="s">
        <v>2129</v>
      </c>
      <c r="AF726" s="1528" t="s">
        <v>2129</v>
      </c>
      <c r="AG726" s="1528" t="s">
        <v>2129</v>
      </c>
    </row>
    <row r="727" spans="1:33" ht="68.25" hidden="1" thickBot="1">
      <c r="A727" s="1529"/>
      <c r="B727" s="1533"/>
      <c r="C727" s="1529"/>
      <c r="D727" s="1409" t="s">
        <v>2741</v>
      </c>
      <c r="E727" s="1529"/>
      <c r="F727" s="1529"/>
      <c r="G727" s="1529"/>
      <c r="H727" s="1529"/>
      <c r="I727" s="1529"/>
      <c r="J727" s="1529"/>
      <c r="K727" s="1529"/>
      <c r="L727" s="1529"/>
      <c r="M727" s="1529"/>
      <c r="N727" s="1529"/>
      <c r="O727" s="1529"/>
      <c r="P727" s="1529"/>
      <c r="Q727" s="1529"/>
      <c r="R727" s="1529"/>
      <c r="S727" s="1529"/>
      <c r="T727" s="1529"/>
      <c r="U727" s="1529"/>
      <c r="V727" s="1529"/>
      <c r="W727" s="1529"/>
      <c r="X727" s="1529"/>
      <c r="Y727" s="1529"/>
      <c r="Z727" s="1529"/>
      <c r="AA727" s="1529"/>
      <c r="AB727" s="1529"/>
      <c r="AC727" s="1529"/>
      <c r="AD727" s="1529"/>
      <c r="AE727" s="1529"/>
      <c r="AF727" s="1529"/>
      <c r="AG727" s="1529"/>
    </row>
    <row r="728" spans="1:33" ht="25.5" hidden="1" customHeight="1">
      <c r="A728" s="1528">
        <v>86</v>
      </c>
      <c r="B728" s="1531">
        <v>1.7224300000000002E+35</v>
      </c>
      <c r="C728" s="1528" t="s">
        <v>2746</v>
      </c>
      <c r="D728" s="1528" t="s">
        <v>2747</v>
      </c>
      <c r="E728" s="1528">
        <v>18863.72</v>
      </c>
      <c r="F728" s="1528"/>
      <c r="G728" s="1528">
        <v>18863.72</v>
      </c>
      <c r="H728" s="1528">
        <v>18863.72</v>
      </c>
      <c r="I728" s="1528">
        <v>0</v>
      </c>
      <c r="J728" s="1528">
        <v>0</v>
      </c>
      <c r="K728" s="1528">
        <v>0</v>
      </c>
      <c r="L728" s="1528" t="s">
        <v>2129</v>
      </c>
      <c r="M728" s="1528" t="s">
        <v>2129</v>
      </c>
      <c r="N728" s="1528" t="s">
        <v>2129</v>
      </c>
      <c r="O728" s="1528" t="s">
        <v>2129</v>
      </c>
      <c r="P728" s="1528" t="s">
        <v>2129</v>
      </c>
      <c r="Q728" s="1528" t="s">
        <v>2129</v>
      </c>
      <c r="R728" s="1528" t="s">
        <v>2129</v>
      </c>
      <c r="S728" s="1410" t="s">
        <v>2130</v>
      </c>
      <c r="T728" s="1528"/>
      <c r="U728" s="1528"/>
      <c r="V728" s="1528">
        <v>9.2017000000000007</v>
      </c>
      <c r="W728" s="1528">
        <v>12.201700000000001</v>
      </c>
      <c r="X728" s="1528" t="s">
        <v>2131</v>
      </c>
      <c r="Y728" s="1528" t="s">
        <v>2132</v>
      </c>
      <c r="Z728" s="1528" t="s">
        <v>2132</v>
      </c>
      <c r="AA728" s="1528"/>
      <c r="AB728" s="1528"/>
      <c r="AC728" s="1528"/>
      <c r="AD728" s="1528" t="s">
        <v>2133</v>
      </c>
      <c r="AE728" s="1410" t="s">
        <v>2134</v>
      </c>
      <c r="AF728" s="1528"/>
      <c r="AG728" s="1528"/>
    </row>
    <row r="729" spans="1:33" ht="93" hidden="1" thickBot="1">
      <c r="A729" s="1530"/>
      <c r="B729" s="1532"/>
      <c r="C729" s="1530"/>
      <c r="D729" s="1529"/>
      <c r="E729" s="1529"/>
      <c r="F729" s="1529"/>
      <c r="G729" s="1529"/>
      <c r="H729" s="1529"/>
      <c r="I729" s="1529"/>
      <c r="J729" s="1529"/>
      <c r="K729" s="1529"/>
      <c r="L729" s="1529"/>
      <c r="M729" s="1529"/>
      <c r="N729" s="1529"/>
      <c r="O729" s="1529"/>
      <c r="P729" s="1529"/>
      <c r="Q729" s="1529"/>
      <c r="R729" s="1529"/>
      <c r="S729" s="1409" t="s">
        <v>2748</v>
      </c>
      <c r="T729" s="1529"/>
      <c r="U729" s="1529"/>
      <c r="V729" s="1529"/>
      <c r="W729" s="1529"/>
      <c r="X729" s="1529"/>
      <c r="Y729" s="1529"/>
      <c r="Z729" s="1529"/>
      <c r="AA729" s="1529"/>
      <c r="AB729" s="1529"/>
      <c r="AC729" s="1529"/>
      <c r="AD729" s="1529"/>
      <c r="AE729" s="1409" t="s">
        <v>2136</v>
      </c>
      <c r="AF729" s="1529"/>
      <c r="AG729" s="1529"/>
    </row>
    <row r="730" spans="1:33" ht="35.25" hidden="1" thickBot="1">
      <c r="A730" s="1529"/>
      <c r="B730" s="1533"/>
      <c r="C730" s="1529"/>
      <c r="D730" s="1409" t="s">
        <v>2749</v>
      </c>
      <c r="E730" s="1409" t="s">
        <v>2129</v>
      </c>
      <c r="F730" s="1409" t="s">
        <v>2129</v>
      </c>
      <c r="G730" s="1409" t="s">
        <v>2129</v>
      </c>
      <c r="H730" s="1409" t="s">
        <v>2129</v>
      </c>
      <c r="I730" s="1409" t="s">
        <v>2129</v>
      </c>
      <c r="J730" s="1409" t="s">
        <v>2129</v>
      </c>
      <c r="K730" s="1409" t="s">
        <v>2129</v>
      </c>
      <c r="L730" s="1409" t="s">
        <v>2152</v>
      </c>
      <c r="M730" s="1409">
        <v>113</v>
      </c>
      <c r="N730" s="1409">
        <v>149</v>
      </c>
      <c r="O730" s="1409">
        <v>149</v>
      </c>
      <c r="P730" s="1409"/>
      <c r="Q730" s="1409"/>
      <c r="R730" s="1409"/>
      <c r="S730" s="1409" t="s">
        <v>2129</v>
      </c>
      <c r="T730" s="1409" t="s">
        <v>2129</v>
      </c>
      <c r="U730" s="1409" t="s">
        <v>2129</v>
      </c>
      <c r="V730" s="1409" t="s">
        <v>2129</v>
      </c>
      <c r="W730" s="1409" t="s">
        <v>2129</v>
      </c>
      <c r="X730" s="1409" t="s">
        <v>2129</v>
      </c>
      <c r="Y730" s="1409" t="s">
        <v>2129</v>
      </c>
      <c r="Z730" s="1409" t="s">
        <v>2129</v>
      </c>
      <c r="AA730" s="1409" t="s">
        <v>2129</v>
      </c>
      <c r="AB730" s="1409" t="s">
        <v>2129</v>
      </c>
      <c r="AC730" s="1409" t="s">
        <v>2129</v>
      </c>
      <c r="AD730" s="1409" t="s">
        <v>2129</v>
      </c>
      <c r="AE730" s="1409" t="s">
        <v>2129</v>
      </c>
      <c r="AF730" s="1409" t="s">
        <v>2129</v>
      </c>
      <c r="AG730" s="1409" t="s">
        <v>2129</v>
      </c>
    </row>
    <row r="731" spans="1:33" ht="25.5" hidden="1" customHeight="1">
      <c r="A731" s="1528">
        <v>87</v>
      </c>
      <c r="B731" s="1531">
        <v>1.7224300000000002E+35</v>
      </c>
      <c r="C731" s="1528" t="s">
        <v>2750</v>
      </c>
      <c r="D731" s="1528" t="s">
        <v>2751</v>
      </c>
      <c r="E731" s="1528">
        <v>150171.44</v>
      </c>
      <c r="F731" s="1528"/>
      <c r="G731" s="1528">
        <v>150171.44</v>
      </c>
      <c r="H731" s="1528">
        <v>150171.44</v>
      </c>
      <c r="I731" s="1528">
        <v>0</v>
      </c>
      <c r="J731" s="1528">
        <v>0</v>
      </c>
      <c r="K731" s="1528">
        <v>0</v>
      </c>
      <c r="L731" s="1528" t="s">
        <v>2129</v>
      </c>
      <c r="M731" s="1528" t="s">
        <v>2129</v>
      </c>
      <c r="N731" s="1528" t="s">
        <v>2129</v>
      </c>
      <c r="O731" s="1528" t="s">
        <v>2129</v>
      </c>
      <c r="P731" s="1528" t="s">
        <v>2129</v>
      </c>
      <c r="Q731" s="1528" t="s">
        <v>2129</v>
      </c>
      <c r="R731" s="1528" t="s">
        <v>2129</v>
      </c>
      <c r="S731" s="1410" t="s">
        <v>2130</v>
      </c>
      <c r="T731" s="1528"/>
      <c r="U731" s="1528"/>
      <c r="V731" s="1528">
        <v>9.2017000000000007</v>
      </c>
      <c r="W731" s="1528">
        <v>12.201700000000001</v>
      </c>
      <c r="X731" s="1528" t="s">
        <v>2131</v>
      </c>
      <c r="Y731" s="1528" t="s">
        <v>2132</v>
      </c>
      <c r="Z731" s="1528" t="s">
        <v>2132</v>
      </c>
      <c r="AA731" s="1528"/>
      <c r="AB731" s="1528"/>
      <c r="AC731" s="1528"/>
      <c r="AD731" s="1528" t="s">
        <v>2133</v>
      </c>
      <c r="AE731" s="1410" t="s">
        <v>2134</v>
      </c>
      <c r="AF731" s="1528"/>
      <c r="AG731" s="1528"/>
    </row>
    <row r="732" spans="1:33" ht="84.75" hidden="1" thickBot="1">
      <c r="A732" s="1530"/>
      <c r="B732" s="1532"/>
      <c r="C732" s="1530"/>
      <c r="D732" s="1529"/>
      <c r="E732" s="1529"/>
      <c r="F732" s="1529"/>
      <c r="G732" s="1529"/>
      <c r="H732" s="1529"/>
      <c r="I732" s="1529"/>
      <c r="J732" s="1529"/>
      <c r="K732" s="1529"/>
      <c r="L732" s="1529"/>
      <c r="M732" s="1529"/>
      <c r="N732" s="1529"/>
      <c r="O732" s="1529"/>
      <c r="P732" s="1529"/>
      <c r="Q732" s="1529"/>
      <c r="R732" s="1529"/>
      <c r="S732" s="1409" t="s">
        <v>2752</v>
      </c>
      <c r="T732" s="1529"/>
      <c r="U732" s="1529"/>
      <c r="V732" s="1529"/>
      <c r="W732" s="1529"/>
      <c r="X732" s="1529"/>
      <c r="Y732" s="1529"/>
      <c r="Z732" s="1529"/>
      <c r="AA732" s="1529"/>
      <c r="AB732" s="1529"/>
      <c r="AC732" s="1529"/>
      <c r="AD732" s="1529"/>
      <c r="AE732" s="1409" t="s">
        <v>2136</v>
      </c>
      <c r="AF732" s="1529"/>
      <c r="AG732" s="1529"/>
    </row>
    <row r="733" spans="1:33" ht="27" hidden="1" thickBot="1">
      <c r="A733" s="1529"/>
      <c r="B733" s="1533"/>
      <c r="C733" s="1529"/>
      <c r="D733" s="1409" t="s">
        <v>2753</v>
      </c>
      <c r="E733" s="1409" t="s">
        <v>2129</v>
      </c>
      <c r="F733" s="1409" t="s">
        <v>2129</v>
      </c>
      <c r="G733" s="1409" t="s">
        <v>2129</v>
      </c>
      <c r="H733" s="1409" t="s">
        <v>2129</v>
      </c>
      <c r="I733" s="1409" t="s">
        <v>2129</v>
      </c>
      <c r="J733" s="1409" t="s">
        <v>2129</v>
      </c>
      <c r="K733" s="1409" t="s">
        <v>2129</v>
      </c>
      <c r="L733" s="1409" t="s">
        <v>2141</v>
      </c>
      <c r="M733" s="1409">
        <v>233</v>
      </c>
      <c r="N733" s="1409">
        <v>34.590000000000003</v>
      </c>
      <c r="O733" s="1409">
        <v>34.590000000000003</v>
      </c>
      <c r="P733" s="1409"/>
      <c r="Q733" s="1409"/>
      <c r="R733" s="1409"/>
      <c r="S733" s="1409" t="s">
        <v>2129</v>
      </c>
      <c r="T733" s="1409" t="s">
        <v>2129</v>
      </c>
      <c r="U733" s="1409" t="s">
        <v>2129</v>
      </c>
      <c r="V733" s="1409" t="s">
        <v>2129</v>
      </c>
      <c r="W733" s="1409" t="s">
        <v>2129</v>
      </c>
      <c r="X733" s="1409" t="s">
        <v>2129</v>
      </c>
      <c r="Y733" s="1409" t="s">
        <v>2129</v>
      </c>
      <c r="Z733" s="1409" t="s">
        <v>2129</v>
      </c>
      <c r="AA733" s="1409" t="s">
        <v>2129</v>
      </c>
      <c r="AB733" s="1409" t="s">
        <v>2129</v>
      </c>
      <c r="AC733" s="1409" t="s">
        <v>2129</v>
      </c>
      <c r="AD733" s="1409" t="s">
        <v>2129</v>
      </c>
      <c r="AE733" s="1409" t="s">
        <v>2129</v>
      </c>
      <c r="AF733" s="1409" t="s">
        <v>2129</v>
      </c>
      <c r="AG733" s="1409" t="s">
        <v>2129</v>
      </c>
    </row>
    <row r="734" spans="1:33" ht="25.5" hidden="1" customHeight="1">
      <c r="A734" s="1528">
        <v>88</v>
      </c>
      <c r="B734" s="1531">
        <v>1.7224300000000002E+35</v>
      </c>
      <c r="C734" s="1528" t="s">
        <v>2754</v>
      </c>
      <c r="D734" s="1528" t="s">
        <v>2755</v>
      </c>
      <c r="E734" s="1528" t="s">
        <v>2756</v>
      </c>
      <c r="F734" s="1528"/>
      <c r="G734" s="1528">
        <v>20180.36</v>
      </c>
      <c r="H734" s="1528">
        <v>20180.36</v>
      </c>
      <c r="I734" s="1528">
        <v>0</v>
      </c>
      <c r="J734" s="1528">
        <v>0</v>
      </c>
      <c r="K734" s="1528">
        <v>0</v>
      </c>
      <c r="L734" s="1528" t="s">
        <v>2129</v>
      </c>
      <c r="M734" s="1528" t="s">
        <v>2129</v>
      </c>
      <c r="N734" s="1528" t="s">
        <v>2129</v>
      </c>
      <c r="O734" s="1528" t="s">
        <v>2129</v>
      </c>
      <c r="P734" s="1528" t="s">
        <v>2129</v>
      </c>
      <c r="Q734" s="1528" t="s">
        <v>2129</v>
      </c>
      <c r="R734" s="1528" t="s">
        <v>2129</v>
      </c>
      <c r="S734" s="1410" t="s">
        <v>2243</v>
      </c>
      <c r="T734" s="1528"/>
      <c r="U734" s="1528"/>
      <c r="V734" s="1528">
        <v>9.2017000000000007</v>
      </c>
      <c r="W734" s="1528">
        <v>10.201700000000001</v>
      </c>
      <c r="X734" s="1528" t="s">
        <v>2131</v>
      </c>
      <c r="Y734" s="1528" t="s">
        <v>2132</v>
      </c>
      <c r="Z734" s="1528" t="s">
        <v>2132</v>
      </c>
      <c r="AA734" s="1528"/>
      <c r="AB734" s="1528"/>
      <c r="AC734" s="1528"/>
      <c r="AD734" s="1528" t="s">
        <v>2133</v>
      </c>
      <c r="AE734" s="1410" t="s">
        <v>2134</v>
      </c>
      <c r="AF734" s="1528"/>
      <c r="AG734" s="1528"/>
    </row>
    <row r="735" spans="1:33" ht="93" hidden="1" thickBot="1">
      <c r="A735" s="1530"/>
      <c r="B735" s="1532"/>
      <c r="C735" s="1530"/>
      <c r="D735" s="1529"/>
      <c r="E735" s="1529"/>
      <c r="F735" s="1529"/>
      <c r="G735" s="1529"/>
      <c r="H735" s="1529"/>
      <c r="I735" s="1529"/>
      <c r="J735" s="1529"/>
      <c r="K735" s="1529"/>
      <c r="L735" s="1529"/>
      <c r="M735" s="1529"/>
      <c r="N735" s="1529"/>
      <c r="O735" s="1529"/>
      <c r="P735" s="1529"/>
      <c r="Q735" s="1529"/>
      <c r="R735" s="1529"/>
      <c r="S735" s="1409" t="s">
        <v>2757</v>
      </c>
      <c r="T735" s="1529"/>
      <c r="U735" s="1529"/>
      <c r="V735" s="1529"/>
      <c r="W735" s="1529"/>
      <c r="X735" s="1529"/>
      <c r="Y735" s="1529"/>
      <c r="Z735" s="1529"/>
      <c r="AA735" s="1529"/>
      <c r="AB735" s="1529"/>
      <c r="AC735" s="1529"/>
      <c r="AD735" s="1529"/>
      <c r="AE735" s="1409" t="s">
        <v>2136</v>
      </c>
      <c r="AF735" s="1529"/>
      <c r="AG735" s="1529"/>
    </row>
    <row r="736" spans="1:33" ht="18.75" hidden="1" thickBot="1">
      <c r="A736" s="1529"/>
      <c r="B736" s="1533"/>
      <c r="C736" s="1529"/>
      <c r="D736" s="1409" t="s">
        <v>2151</v>
      </c>
      <c r="E736" s="1409" t="s">
        <v>2129</v>
      </c>
      <c r="F736" s="1409" t="s">
        <v>2129</v>
      </c>
      <c r="G736" s="1409" t="s">
        <v>2129</v>
      </c>
      <c r="H736" s="1409" t="s">
        <v>2129</v>
      </c>
      <c r="I736" s="1409" t="s">
        <v>2129</v>
      </c>
      <c r="J736" s="1409" t="s">
        <v>2129</v>
      </c>
      <c r="K736" s="1409" t="s">
        <v>2129</v>
      </c>
      <c r="L736" s="1409" t="s">
        <v>2152</v>
      </c>
      <c r="M736" s="1409">
        <v>113</v>
      </c>
      <c r="N736" s="1409">
        <v>1</v>
      </c>
      <c r="O736" s="1409">
        <v>1</v>
      </c>
      <c r="P736" s="1409"/>
      <c r="Q736" s="1409"/>
      <c r="R736" s="1409"/>
      <c r="S736" s="1409" t="s">
        <v>2129</v>
      </c>
      <c r="T736" s="1409" t="s">
        <v>2129</v>
      </c>
      <c r="U736" s="1409" t="s">
        <v>2129</v>
      </c>
      <c r="V736" s="1409" t="s">
        <v>2129</v>
      </c>
      <c r="W736" s="1409" t="s">
        <v>2129</v>
      </c>
      <c r="X736" s="1409" t="s">
        <v>2129</v>
      </c>
      <c r="Y736" s="1409" t="s">
        <v>2129</v>
      </c>
      <c r="Z736" s="1409" t="s">
        <v>2129</v>
      </c>
      <c r="AA736" s="1409" t="s">
        <v>2129</v>
      </c>
      <c r="AB736" s="1409" t="s">
        <v>2129</v>
      </c>
      <c r="AC736" s="1409" t="s">
        <v>2129</v>
      </c>
      <c r="AD736" s="1409" t="s">
        <v>2129</v>
      </c>
      <c r="AE736" s="1409" t="s">
        <v>2129</v>
      </c>
      <c r="AF736" s="1409" t="s">
        <v>2129</v>
      </c>
      <c r="AG736" s="1409" t="s">
        <v>2129</v>
      </c>
    </row>
    <row r="737" spans="1:33" ht="23.25" hidden="1" customHeight="1" thickBot="1">
      <c r="A737" s="1528">
        <v>89</v>
      </c>
      <c r="B737" s="1531">
        <v>1.7224300000000002E+35</v>
      </c>
      <c r="C737" s="1528" t="s">
        <v>2758</v>
      </c>
      <c r="D737" s="1528" t="s">
        <v>2759</v>
      </c>
      <c r="E737" s="1528">
        <v>59853.65</v>
      </c>
      <c r="F737" s="1528"/>
      <c r="G737" s="1528">
        <v>59853.65</v>
      </c>
      <c r="H737" s="1528">
        <v>59853.65</v>
      </c>
      <c r="I737" s="1528">
        <v>0</v>
      </c>
      <c r="J737" s="1528">
        <v>0</v>
      </c>
      <c r="K737" s="1528">
        <v>0</v>
      </c>
      <c r="L737" s="1528" t="s">
        <v>2129</v>
      </c>
      <c r="M737" s="1528" t="s">
        <v>2129</v>
      </c>
      <c r="N737" s="1528" t="s">
        <v>2129</v>
      </c>
      <c r="O737" s="1528" t="s">
        <v>2129</v>
      </c>
      <c r="P737" s="1528" t="s">
        <v>2129</v>
      </c>
      <c r="Q737" s="1528" t="s">
        <v>2129</v>
      </c>
      <c r="R737" s="1528" t="s">
        <v>2129</v>
      </c>
      <c r="S737" s="1410" t="s">
        <v>2149</v>
      </c>
      <c r="T737" s="1528">
        <v>598.54</v>
      </c>
      <c r="U737" s="1528">
        <v>11970.73</v>
      </c>
      <c r="V737" s="1528">
        <v>5.2016999999999998</v>
      </c>
      <c r="W737" s="1528">
        <v>12.201700000000001</v>
      </c>
      <c r="X737" s="1528" t="s">
        <v>2281</v>
      </c>
      <c r="Y737" s="1528" t="s">
        <v>2132</v>
      </c>
      <c r="Z737" s="1528" t="s">
        <v>2282</v>
      </c>
      <c r="AA737" s="1528"/>
      <c r="AB737" s="1528"/>
      <c r="AC737" s="1528"/>
      <c r="AD737" s="1528" t="s">
        <v>2668</v>
      </c>
      <c r="AE737" s="1410" t="s">
        <v>2134</v>
      </c>
      <c r="AF737" s="1528"/>
      <c r="AG737" s="1528" t="s">
        <v>2283</v>
      </c>
    </row>
    <row r="738" spans="1:33" ht="84.75" hidden="1" thickBot="1">
      <c r="A738" s="1530"/>
      <c r="B738" s="1532"/>
      <c r="C738" s="1530"/>
      <c r="D738" s="1529"/>
      <c r="E738" s="1529"/>
      <c r="F738" s="1529"/>
      <c r="G738" s="1529"/>
      <c r="H738" s="1529"/>
      <c r="I738" s="1529"/>
      <c r="J738" s="1529"/>
      <c r="K738" s="1529"/>
      <c r="L738" s="1529"/>
      <c r="M738" s="1529"/>
      <c r="N738" s="1529"/>
      <c r="O738" s="1529"/>
      <c r="P738" s="1529"/>
      <c r="Q738" s="1529"/>
      <c r="R738" s="1529"/>
      <c r="S738" s="1409" t="s">
        <v>2325</v>
      </c>
      <c r="T738" s="1529"/>
      <c r="U738" s="1529"/>
      <c r="V738" s="1529"/>
      <c r="W738" s="1529"/>
      <c r="X738" s="1529"/>
      <c r="Y738" s="1529"/>
      <c r="Z738" s="1529"/>
      <c r="AA738" s="1529"/>
      <c r="AB738" s="1529"/>
      <c r="AC738" s="1529"/>
      <c r="AD738" s="1529"/>
      <c r="AE738" s="1409" t="s">
        <v>2136</v>
      </c>
      <c r="AF738" s="1529"/>
      <c r="AG738" s="1529"/>
    </row>
    <row r="739" spans="1:33" ht="15.75" hidden="1" thickBot="1">
      <c r="A739" s="1530"/>
      <c r="B739" s="1532"/>
      <c r="C739" s="1530"/>
      <c r="D739" s="1410" t="s">
        <v>2381</v>
      </c>
      <c r="E739" s="1528" t="s">
        <v>2129</v>
      </c>
      <c r="F739" s="1528" t="s">
        <v>2129</v>
      </c>
      <c r="G739" s="1528" t="s">
        <v>2129</v>
      </c>
      <c r="H739" s="1528" t="s">
        <v>2129</v>
      </c>
      <c r="I739" s="1528" t="s">
        <v>2129</v>
      </c>
      <c r="J739" s="1528" t="s">
        <v>2129</v>
      </c>
      <c r="K739" s="1528" t="s">
        <v>2129</v>
      </c>
      <c r="L739" s="1528" t="s">
        <v>2286</v>
      </c>
      <c r="M739" s="1528">
        <v>166</v>
      </c>
      <c r="N739" s="1528">
        <v>80</v>
      </c>
      <c r="O739" s="1528">
        <v>80</v>
      </c>
      <c r="P739" s="1528"/>
      <c r="Q739" s="1528"/>
      <c r="R739" s="1528"/>
      <c r="S739" s="1528" t="s">
        <v>2129</v>
      </c>
      <c r="T739" s="1528" t="s">
        <v>2129</v>
      </c>
      <c r="U739" s="1528" t="s">
        <v>2129</v>
      </c>
      <c r="V739" s="1528" t="s">
        <v>2129</v>
      </c>
      <c r="W739" s="1528" t="s">
        <v>2129</v>
      </c>
      <c r="X739" s="1528" t="s">
        <v>2129</v>
      </c>
      <c r="Y739" s="1528" t="s">
        <v>2129</v>
      </c>
      <c r="Z739" s="1528" t="s">
        <v>2129</v>
      </c>
      <c r="AA739" s="1528" t="s">
        <v>2129</v>
      </c>
      <c r="AB739" s="1528" t="s">
        <v>2129</v>
      </c>
      <c r="AC739" s="1528" t="s">
        <v>2129</v>
      </c>
      <c r="AD739" s="1528" t="s">
        <v>2129</v>
      </c>
      <c r="AE739" s="1528" t="s">
        <v>2129</v>
      </c>
      <c r="AF739" s="1528" t="s">
        <v>2129</v>
      </c>
      <c r="AG739" s="1528" t="s">
        <v>2129</v>
      </c>
    </row>
    <row r="740" spans="1:33" ht="126" hidden="1" thickBot="1">
      <c r="A740" s="1530"/>
      <c r="B740" s="1532"/>
      <c r="C740" s="1530"/>
      <c r="D740" s="1409" t="s">
        <v>2760</v>
      </c>
      <c r="E740" s="1529"/>
      <c r="F740" s="1529"/>
      <c r="G740" s="1529"/>
      <c r="H740" s="1529"/>
      <c r="I740" s="1529"/>
      <c r="J740" s="1529"/>
      <c r="K740" s="1529"/>
      <c r="L740" s="1529"/>
      <c r="M740" s="1529"/>
      <c r="N740" s="1529"/>
      <c r="O740" s="1529"/>
      <c r="P740" s="1529"/>
      <c r="Q740" s="1529"/>
      <c r="R740" s="1529"/>
      <c r="S740" s="1529"/>
      <c r="T740" s="1529"/>
      <c r="U740" s="1529"/>
      <c r="V740" s="1529"/>
      <c r="W740" s="1529"/>
      <c r="X740" s="1529"/>
      <c r="Y740" s="1529"/>
      <c r="Z740" s="1529"/>
      <c r="AA740" s="1529"/>
      <c r="AB740" s="1529"/>
      <c r="AC740" s="1529"/>
      <c r="AD740" s="1529"/>
      <c r="AE740" s="1529"/>
      <c r="AF740" s="1529"/>
      <c r="AG740" s="1529"/>
    </row>
    <row r="741" spans="1:33" ht="15.75" hidden="1" thickBot="1">
      <c r="A741" s="1530"/>
      <c r="B741" s="1532"/>
      <c r="C741" s="1530"/>
      <c r="D741" s="1410" t="s">
        <v>2383</v>
      </c>
      <c r="E741" s="1528" t="s">
        <v>2129</v>
      </c>
      <c r="F741" s="1528" t="s">
        <v>2129</v>
      </c>
      <c r="G741" s="1528" t="s">
        <v>2129</v>
      </c>
      <c r="H741" s="1528" t="s">
        <v>2129</v>
      </c>
      <c r="I741" s="1528" t="s">
        <v>2129</v>
      </c>
      <c r="J741" s="1528" t="s">
        <v>2129</v>
      </c>
      <c r="K741" s="1528" t="s">
        <v>2129</v>
      </c>
      <c r="L741" s="1528" t="s">
        <v>2286</v>
      </c>
      <c r="M741" s="1528">
        <v>166</v>
      </c>
      <c r="N741" s="1528">
        <v>15</v>
      </c>
      <c r="O741" s="1528">
        <v>15</v>
      </c>
      <c r="P741" s="1528"/>
      <c r="Q741" s="1528"/>
      <c r="R741" s="1528"/>
      <c r="S741" s="1528" t="s">
        <v>2129</v>
      </c>
      <c r="T741" s="1528" t="s">
        <v>2129</v>
      </c>
      <c r="U741" s="1528" t="s">
        <v>2129</v>
      </c>
      <c r="V741" s="1528" t="s">
        <v>2129</v>
      </c>
      <c r="W741" s="1528" t="s">
        <v>2129</v>
      </c>
      <c r="X741" s="1528" t="s">
        <v>2129</v>
      </c>
      <c r="Y741" s="1528" t="s">
        <v>2129</v>
      </c>
      <c r="Z741" s="1528" t="s">
        <v>2129</v>
      </c>
      <c r="AA741" s="1528" t="s">
        <v>2129</v>
      </c>
      <c r="AB741" s="1528" t="s">
        <v>2129</v>
      </c>
      <c r="AC741" s="1528" t="s">
        <v>2129</v>
      </c>
      <c r="AD741" s="1528" t="s">
        <v>2129</v>
      </c>
      <c r="AE741" s="1528" t="s">
        <v>2129</v>
      </c>
      <c r="AF741" s="1528" t="s">
        <v>2129</v>
      </c>
      <c r="AG741" s="1528" t="s">
        <v>2129</v>
      </c>
    </row>
    <row r="742" spans="1:33" ht="126" hidden="1" thickBot="1">
      <c r="A742" s="1530"/>
      <c r="B742" s="1532"/>
      <c r="C742" s="1530"/>
      <c r="D742" s="1409" t="s">
        <v>2761</v>
      </c>
      <c r="E742" s="1529"/>
      <c r="F742" s="1529"/>
      <c r="G742" s="1529"/>
      <c r="H742" s="1529"/>
      <c r="I742" s="1529"/>
      <c r="J742" s="1529"/>
      <c r="K742" s="1529"/>
      <c r="L742" s="1529"/>
      <c r="M742" s="1529"/>
      <c r="N742" s="1529"/>
      <c r="O742" s="1529"/>
      <c r="P742" s="1529"/>
      <c r="Q742" s="1529"/>
      <c r="R742" s="1529"/>
      <c r="S742" s="1529"/>
      <c r="T742" s="1529"/>
      <c r="U742" s="1529"/>
      <c r="V742" s="1529"/>
      <c r="W742" s="1529"/>
      <c r="X742" s="1529"/>
      <c r="Y742" s="1529"/>
      <c r="Z742" s="1529"/>
      <c r="AA742" s="1529"/>
      <c r="AB742" s="1529"/>
      <c r="AC742" s="1529"/>
      <c r="AD742" s="1529"/>
      <c r="AE742" s="1529"/>
      <c r="AF742" s="1529"/>
      <c r="AG742" s="1529"/>
    </row>
    <row r="743" spans="1:33" ht="18.75" hidden="1" thickBot="1">
      <c r="A743" s="1530"/>
      <c r="B743" s="1532"/>
      <c r="C743" s="1530"/>
      <c r="D743" s="1410" t="s">
        <v>2762</v>
      </c>
      <c r="E743" s="1528" t="s">
        <v>2129</v>
      </c>
      <c r="F743" s="1528" t="s">
        <v>2129</v>
      </c>
      <c r="G743" s="1528" t="s">
        <v>2129</v>
      </c>
      <c r="H743" s="1528" t="s">
        <v>2129</v>
      </c>
      <c r="I743" s="1528" t="s">
        <v>2129</v>
      </c>
      <c r="J743" s="1528" t="s">
        <v>2129</v>
      </c>
      <c r="K743" s="1528" t="s">
        <v>2129</v>
      </c>
      <c r="L743" s="1528" t="s">
        <v>2286</v>
      </c>
      <c r="M743" s="1528">
        <v>166</v>
      </c>
      <c r="N743" s="1528">
        <v>230</v>
      </c>
      <c r="O743" s="1528">
        <v>230</v>
      </c>
      <c r="P743" s="1528"/>
      <c r="Q743" s="1528"/>
      <c r="R743" s="1528"/>
      <c r="S743" s="1528" t="s">
        <v>2129</v>
      </c>
      <c r="T743" s="1528" t="s">
        <v>2129</v>
      </c>
      <c r="U743" s="1528" t="s">
        <v>2129</v>
      </c>
      <c r="V743" s="1528" t="s">
        <v>2129</v>
      </c>
      <c r="W743" s="1528" t="s">
        <v>2129</v>
      </c>
      <c r="X743" s="1528" t="s">
        <v>2129</v>
      </c>
      <c r="Y743" s="1528" t="s">
        <v>2129</v>
      </c>
      <c r="Z743" s="1528" t="s">
        <v>2129</v>
      </c>
      <c r="AA743" s="1528" t="s">
        <v>2129</v>
      </c>
      <c r="AB743" s="1528" t="s">
        <v>2129</v>
      </c>
      <c r="AC743" s="1528" t="s">
        <v>2129</v>
      </c>
      <c r="AD743" s="1528" t="s">
        <v>2129</v>
      </c>
      <c r="AE743" s="1528" t="s">
        <v>2129</v>
      </c>
      <c r="AF743" s="1528" t="s">
        <v>2129</v>
      </c>
      <c r="AG743" s="1528" t="s">
        <v>2129</v>
      </c>
    </row>
    <row r="744" spans="1:33" ht="126" hidden="1" thickBot="1">
      <c r="A744" s="1530"/>
      <c r="B744" s="1532"/>
      <c r="C744" s="1530"/>
      <c r="D744" s="1409" t="s">
        <v>2763</v>
      </c>
      <c r="E744" s="1529"/>
      <c r="F744" s="1529"/>
      <c r="G744" s="1529"/>
      <c r="H744" s="1529"/>
      <c r="I744" s="1529"/>
      <c r="J744" s="1529"/>
      <c r="K744" s="1529"/>
      <c r="L744" s="1529"/>
      <c r="M744" s="1529"/>
      <c r="N744" s="1529"/>
      <c r="O744" s="1529"/>
      <c r="P744" s="1529"/>
      <c r="Q744" s="1529"/>
      <c r="R744" s="1529"/>
      <c r="S744" s="1529"/>
      <c r="T744" s="1529"/>
      <c r="U744" s="1529"/>
      <c r="V744" s="1529"/>
      <c r="W744" s="1529"/>
      <c r="X744" s="1529"/>
      <c r="Y744" s="1529"/>
      <c r="Z744" s="1529"/>
      <c r="AA744" s="1529"/>
      <c r="AB744" s="1529"/>
      <c r="AC744" s="1529"/>
      <c r="AD744" s="1529"/>
      <c r="AE744" s="1529"/>
      <c r="AF744" s="1529"/>
      <c r="AG744" s="1529"/>
    </row>
    <row r="745" spans="1:33" ht="18.75" hidden="1" thickBot="1">
      <c r="A745" s="1530"/>
      <c r="B745" s="1532"/>
      <c r="C745" s="1530"/>
      <c r="D745" s="1410" t="s">
        <v>2384</v>
      </c>
      <c r="E745" s="1528" t="s">
        <v>2129</v>
      </c>
      <c r="F745" s="1528" t="s">
        <v>2129</v>
      </c>
      <c r="G745" s="1528" t="s">
        <v>2129</v>
      </c>
      <c r="H745" s="1528" t="s">
        <v>2129</v>
      </c>
      <c r="I745" s="1528" t="s">
        <v>2129</v>
      </c>
      <c r="J745" s="1528" t="s">
        <v>2129</v>
      </c>
      <c r="K745" s="1528" t="s">
        <v>2129</v>
      </c>
      <c r="L745" s="1528" t="s">
        <v>2286</v>
      </c>
      <c r="M745" s="1528">
        <v>166</v>
      </c>
      <c r="N745" s="1528">
        <v>230</v>
      </c>
      <c r="O745" s="1528">
        <v>230</v>
      </c>
      <c r="P745" s="1528"/>
      <c r="Q745" s="1528"/>
      <c r="R745" s="1528"/>
      <c r="S745" s="1528" t="s">
        <v>2129</v>
      </c>
      <c r="T745" s="1528" t="s">
        <v>2129</v>
      </c>
      <c r="U745" s="1528" t="s">
        <v>2129</v>
      </c>
      <c r="V745" s="1528" t="s">
        <v>2129</v>
      </c>
      <c r="W745" s="1528" t="s">
        <v>2129</v>
      </c>
      <c r="X745" s="1528" t="s">
        <v>2129</v>
      </c>
      <c r="Y745" s="1528" t="s">
        <v>2129</v>
      </c>
      <c r="Z745" s="1528" t="s">
        <v>2129</v>
      </c>
      <c r="AA745" s="1528" t="s">
        <v>2129</v>
      </c>
      <c r="AB745" s="1528" t="s">
        <v>2129</v>
      </c>
      <c r="AC745" s="1528" t="s">
        <v>2129</v>
      </c>
      <c r="AD745" s="1528" t="s">
        <v>2129</v>
      </c>
      <c r="AE745" s="1528" t="s">
        <v>2129</v>
      </c>
      <c r="AF745" s="1528" t="s">
        <v>2129</v>
      </c>
      <c r="AG745" s="1528" t="s">
        <v>2129</v>
      </c>
    </row>
    <row r="746" spans="1:33" ht="126" hidden="1" thickBot="1">
      <c r="A746" s="1530"/>
      <c r="B746" s="1532"/>
      <c r="C746" s="1530"/>
      <c r="D746" s="1409" t="s">
        <v>2763</v>
      </c>
      <c r="E746" s="1529"/>
      <c r="F746" s="1529"/>
      <c r="G746" s="1529"/>
      <c r="H746" s="1529"/>
      <c r="I746" s="1529"/>
      <c r="J746" s="1529"/>
      <c r="K746" s="1529"/>
      <c r="L746" s="1529"/>
      <c r="M746" s="1529"/>
      <c r="N746" s="1529"/>
      <c r="O746" s="1529"/>
      <c r="P746" s="1529"/>
      <c r="Q746" s="1529"/>
      <c r="R746" s="1529"/>
      <c r="S746" s="1529"/>
      <c r="T746" s="1529"/>
      <c r="U746" s="1529"/>
      <c r="V746" s="1529"/>
      <c r="W746" s="1529"/>
      <c r="X746" s="1529"/>
      <c r="Y746" s="1529"/>
      <c r="Z746" s="1529"/>
      <c r="AA746" s="1529"/>
      <c r="AB746" s="1529"/>
      <c r="AC746" s="1529"/>
      <c r="AD746" s="1529"/>
      <c r="AE746" s="1529"/>
      <c r="AF746" s="1529"/>
      <c r="AG746" s="1529"/>
    </row>
    <row r="747" spans="1:33" ht="15.75" hidden="1" thickBot="1">
      <c r="A747" s="1530"/>
      <c r="B747" s="1532"/>
      <c r="C747" s="1530"/>
      <c r="D747" s="1410" t="s">
        <v>2385</v>
      </c>
      <c r="E747" s="1528" t="s">
        <v>2129</v>
      </c>
      <c r="F747" s="1528" t="s">
        <v>2129</v>
      </c>
      <c r="G747" s="1528" t="s">
        <v>2129</v>
      </c>
      <c r="H747" s="1528" t="s">
        <v>2129</v>
      </c>
      <c r="I747" s="1528" t="s">
        <v>2129</v>
      </c>
      <c r="J747" s="1528" t="s">
        <v>2129</v>
      </c>
      <c r="K747" s="1528" t="s">
        <v>2129</v>
      </c>
      <c r="L747" s="1528" t="s">
        <v>2286</v>
      </c>
      <c r="M747" s="1528">
        <v>166</v>
      </c>
      <c r="N747" s="1528">
        <v>200</v>
      </c>
      <c r="O747" s="1528">
        <v>200</v>
      </c>
      <c r="P747" s="1528"/>
      <c r="Q747" s="1528"/>
      <c r="R747" s="1528"/>
      <c r="S747" s="1528" t="s">
        <v>2129</v>
      </c>
      <c r="T747" s="1528" t="s">
        <v>2129</v>
      </c>
      <c r="U747" s="1528" t="s">
        <v>2129</v>
      </c>
      <c r="V747" s="1528" t="s">
        <v>2129</v>
      </c>
      <c r="W747" s="1528" t="s">
        <v>2129</v>
      </c>
      <c r="X747" s="1528" t="s">
        <v>2129</v>
      </c>
      <c r="Y747" s="1528" t="s">
        <v>2129</v>
      </c>
      <c r="Z747" s="1528" t="s">
        <v>2129</v>
      </c>
      <c r="AA747" s="1528" t="s">
        <v>2129</v>
      </c>
      <c r="AB747" s="1528" t="s">
        <v>2129</v>
      </c>
      <c r="AC747" s="1528" t="s">
        <v>2129</v>
      </c>
      <c r="AD747" s="1528" t="s">
        <v>2129</v>
      </c>
      <c r="AE747" s="1528" t="s">
        <v>2129</v>
      </c>
      <c r="AF747" s="1528" t="s">
        <v>2129</v>
      </c>
      <c r="AG747" s="1528" t="s">
        <v>2129</v>
      </c>
    </row>
    <row r="748" spans="1:33" ht="126" hidden="1" thickBot="1">
      <c r="A748" s="1530"/>
      <c r="B748" s="1532"/>
      <c r="C748" s="1530"/>
      <c r="D748" s="1409" t="s">
        <v>2763</v>
      </c>
      <c r="E748" s="1529"/>
      <c r="F748" s="1529"/>
      <c r="G748" s="1529"/>
      <c r="H748" s="1529"/>
      <c r="I748" s="1529"/>
      <c r="J748" s="1529"/>
      <c r="K748" s="1529"/>
      <c r="L748" s="1529"/>
      <c r="M748" s="1529"/>
      <c r="N748" s="1529"/>
      <c r="O748" s="1529"/>
      <c r="P748" s="1529"/>
      <c r="Q748" s="1529"/>
      <c r="R748" s="1529"/>
      <c r="S748" s="1529"/>
      <c r="T748" s="1529"/>
      <c r="U748" s="1529"/>
      <c r="V748" s="1529"/>
      <c r="W748" s="1529"/>
      <c r="X748" s="1529"/>
      <c r="Y748" s="1529"/>
      <c r="Z748" s="1529"/>
      <c r="AA748" s="1529"/>
      <c r="AB748" s="1529"/>
      <c r="AC748" s="1529"/>
      <c r="AD748" s="1529"/>
      <c r="AE748" s="1529"/>
      <c r="AF748" s="1529"/>
      <c r="AG748" s="1529"/>
    </row>
    <row r="749" spans="1:33" ht="15.75" hidden="1" thickBot="1">
      <c r="A749" s="1530"/>
      <c r="B749" s="1532"/>
      <c r="C749" s="1530"/>
      <c r="D749" s="1410" t="s">
        <v>2382</v>
      </c>
      <c r="E749" s="1528" t="s">
        <v>2129</v>
      </c>
      <c r="F749" s="1528" t="s">
        <v>2129</v>
      </c>
      <c r="G749" s="1528" t="s">
        <v>2129</v>
      </c>
      <c r="H749" s="1528" t="s">
        <v>2129</v>
      </c>
      <c r="I749" s="1528" t="s">
        <v>2129</v>
      </c>
      <c r="J749" s="1528" t="s">
        <v>2129</v>
      </c>
      <c r="K749" s="1528" t="s">
        <v>2129</v>
      </c>
      <c r="L749" s="1528" t="s">
        <v>2286</v>
      </c>
      <c r="M749" s="1528">
        <v>166</v>
      </c>
      <c r="N749" s="1528">
        <v>200</v>
      </c>
      <c r="O749" s="1528">
        <v>200</v>
      </c>
      <c r="P749" s="1528"/>
      <c r="Q749" s="1528"/>
      <c r="R749" s="1528"/>
      <c r="S749" s="1528" t="s">
        <v>2129</v>
      </c>
      <c r="T749" s="1528" t="s">
        <v>2129</v>
      </c>
      <c r="U749" s="1528" t="s">
        <v>2129</v>
      </c>
      <c r="V749" s="1528" t="s">
        <v>2129</v>
      </c>
      <c r="W749" s="1528" t="s">
        <v>2129</v>
      </c>
      <c r="X749" s="1528" t="s">
        <v>2129</v>
      </c>
      <c r="Y749" s="1528" t="s">
        <v>2129</v>
      </c>
      <c r="Z749" s="1528" t="s">
        <v>2129</v>
      </c>
      <c r="AA749" s="1528" t="s">
        <v>2129</v>
      </c>
      <c r="AB749" s="1528" t="s">
        <v>2129</v>
      </c>
      <c r="AC749" s="1528" t="s">
        <v>2129</v>
      </c>
      <c r="AD749" s="1528" t="s">
        <v>2129</v>
      </c>
      <c r="AE749" s="1528" t="s">
        <v>2129</v>
      </c>
      <c r="AF749" s="1528" t="s">
        <v>2129</v>
      </c>
      <c r="AG749" s="1528" t="s">
        <v>2129</v>
      </c>
    </row>
    <row r="750" spans="1:33" ht="126" hidden="1" thickBot="1">
      <c r="A750" s="1529"/>
      <c r="B750" s="1533"/>
      <c r="C750" s="1529"/>
      <c r="D750" s="1409" t="s">
        <v>2763</v>
      </c>
      <c r="E750" s="1529"/>
      <c r="F750" s="1529"/>
      <c r="G750" s="1529"/>
      <c r="H750" s="1529"/>
      <c r="I750" s="1529"/>
      <c r="J750" s="1529"/>
      <c r="K750" s="1529"/>
      <c r="L750" s="1529"/>
      <c r="M750" s="1529"/>
      <c r="N750" s="1529"/>
      <c r="O750" s="1529"/>
      <c r="P750" s="1529"/>
      <c r="Q750" s="1529"/>
      <c r="R750" s="1529"/>
      <c r="S750" s="1529"/>
      <c r="T750" s="1529"/>
      <c r="U750" s="1529"/>
      <c r="V750" s="1529"/>
      <c r="W750" s="1529"/>
      <c r="X750" s="1529"/>
      <c r="Y750" s="1529"/>
      <c r="Z750" s="1529"/>
      <c r="AA750" s="1529"/>
      <c r="AB750" s="1529"/>
      <c r="AC750" s="1529"/>
      <c r="AD750" s="1529"/>
      <c r="AE750" s="1529"/>
      <c r="AF750" s="1529"/>
      <c r="AG750" s="1529"/>
    </row>
    <row r="751" spans="1:33" ht="23.25" hidden="1" customHeight="1" thickBot="1">
      <c r="A751" s="1528">
        <v>90</v>
      </c>
      <c r="B751" s="1531">
        <v>1.7224300000000002E+35</v>
      </c>
      <c r="C751" s="1528" t="s">
        <v>2764</v>
      </c>
      <c r="D751" s="1528" t="s">
        <v>2765</v>
      </c>
      <c r="E751" s="1528">
        <v>3054.6</v>
      </c>
      <c r="F751" s="1528"/>
      <c r="G751" s="1528">
        <v>3054.6</v>
      </c>
      <c r="H751" s="1528">
        <v>3054.6</v>
      </c>
      <c r="I751" s="1528">
        <v>0</v>
      </c>
      <c r="J751" s="1528">
        <v>0</v>
      </c>
      <c r="K751" s="1528">
        <v>0</v>
      </c>
      <c r="L751" s="1528" t="s">
        <v>2129</v>
      </c>
      <c r="M751" s="1528" t="s">
        <v>2129</v>
      </c>
      <c r="N751" s="1528" t="s">
        <v>2129</v>
      </c>
      <c r="O751" s="1528" t="s">
        <v>2129</v>
      </c>
      <c r="P751" s="1528" t="s">
        <v>2129</v>
      </c>
      <c r="Q751" s="1528" t="s">
        <v>2129</v>
      </c>
      <c r="R751" s="1528" t="s">
        <v>2129</v>
      </c>
      <c r="S751" s="1410" t="s">
        <v>2169</v>
      </c>
      <c r="T751" s="1528">
        <v>30.55</v>
      </c>
      <c r="U751" s="1528">
        <v>335.7</v>
      </c>
      <c r="V751" s="1528">
        <v>5.2016999999999998</v>
      </c>
      <c r="W751" s="1528">
        <v>12.201700000000001</v>
      </c>
      <c r="X751" s="1528" t="s">
        <v>2281</v>
      </c>
      <c r="Y751" s="1528" t="s">
        <v>2282</v>
      </c>
      <c r="Z751" s="1528" t="s">
        <v>2132</v>
      </c>
      <c r="AA751" s="1528"/>
      <c r="AB751" s="1528"/>
      <c r="AC751" s="1528"/>
      <c r="AD751" s="1528" t="s">
        <v>2609</v>
      </c>
      <c r="AE751" s="1410" t="s">
        <v>2134</v>
      </c>
      <c r="AF751" s="1528"/>
      <c r="AG751" s="1528" t="s">
        <v>2283</v>
      </c>
    </row>
    <row r="752" spans="1:33" ht="93" hidden="1" thickBot="1">
      <c r="A752" s="1530"/>
      <c r="B752" s="1532"/>
      <c r="C752" s="1530"/>
      <c r="D752" s="1529"/>
      <c r="E752" s="1529"/>
      <c r="F752" s="1529"/>
      <c r="G752" s="1529"/>
      <c r="H752" s="1529"/>
      <c r="I752" s="1529"/>
      <c r="J752" s="1529"/>
      <c r="K752" s="1529"/>
      <c r="L752" s="1529"/>
      <c r="M752" s="1529"/>
      <c r="N752" s="1529"/>
      <c r="O752" s="1529"/>
      <c r="P752" s="1529"/>
      <c r="Q752" s="1529"/>
      <c r="R752" s="1529"/>
      <c r="S752" s="1409" t="s">
        <v>2700</v>
      </c>
      <c r="T752" s="1529"/>
      <c r="U752" s="1529"/>
      <c r="V752" s="1529"/>
      <c r="W752" s="1529"/>
      <c r="X752" s="1529"/>
      <c r="Y752" s="1529"/>
      <c r="Z752" s="1529"/>
      <c r="AA752" s="1529"/>
      <c r="AB752" s="1529"/>
      <c r="AC752" s="1529"/>
      <c r="AD752" s="1529"/>
      <c r="AE752" s="1409" t="s">
        <v>2136</v>
      </c>
      <c r="AF752" s="1529"/>
      <c r="AG752" s="1529"/>
    </row>
    <row r="753" spans="1:33" ht="15.75" hidden="1" thickBot="1">
      <c r="A753" s="1530"/>
      <c r="B753" s="1532"/>
      <c r="C753" s="1530"/>
      <c r="D753" s="1410" t="s">
        <v>2766</v>
      </c>
      <c r="E753" s="1528" t="s">
        <v>2129</v>
      </c>
      <c r="F753" s="1528" t="s">
        <v>2129</v>
      </c>
      <c r="G753" s="1528" t="s">
        <v>2129</v>
      </c>
      <c r="H753" s="1528" t="s">
        <v>2129</v>
      </c>
      <c r="I753" s="1528" t="s">
        <v>2129</v>
      </c>
      <c r="J753" s="1528" t="s">
        <v>2129</v>
      </c>
      <c r="K753" s="1528" t="s">
        <v>2129</v>
      </c>
      <c r="L753" s="1528" t="s">
        <v>2286</v>
      </c>
      <c r="M753" s="1528">
        <v>166</v>
      </c>
      <c r="N753" s="1528">
        <v>30</v>
      </c>
      <c r="O753" s="1528">
        <v>30</v>
      </c>
      <c r="P753" s="1528"/>
      <c r="Q753" s="1528"/>
      <c r="R753" s="1528"/>
      <c r="S753" s="1528" t="s">
        <v>2129</v>
      </c>
      <c r="T753" s="1528" t="s">
        <v>2129</v>
      </c>
      <c r="U753" s="1528" t="s">
        <v>2129</v>
      </c>
      <c r="V753" s="1528" t="s">
        <v>2129</v>
      </c>
      <c r="W753" s="1528" t="s">
        <v>2129</v>
      </c>
      <c r="X753" s="1528" t="s">
        <v>2129</v>
      </c>
      <c r="Y753" s="1528" t="s">
        <v>2129</v>
      </c>
      <c r="Z753" s="1528" t="s">
        <v>2129</v>
      </c>
      <c r="AA753" s="1528" t="s">
        <v>2129</v>
      </c>
      <c r="AB753" s="1528" t="s">
        <v>2129</v>
      </c>
      <c r="AC753" s="1528" t="s">
        <v>2129</v>
      </c>
      <c r="AD753" s="1528" t="s">
        <v>2129</v>
      </c>
      <c r="AE753" s="1528" t="s">
        <v>2129</v>
      </c>
      <c r="AF753" s="1528" t="s">
        <v>2129</v>
      </c>
      <c r="AG753" s="1528" t="s">
        <v>2129</v>
      </c>
    </row>
    <row r="754" spans="1:33" ht="76.5" hidden="1" thickBot="1">
      <c r="A754" s="1529"/>
      <c r="B754" s="1533"/>
      <c r="C754" s="1529"/>
      <c r="D754" s="1409" t="s">
        <v>2767</v>
      </c>
      <c r="E754" s="1529"/>
      <c r="F754" s="1529"/>
      <c r="G754" s="1529"/>
      <c r="H754" s="1529"/>
      <c r="I754" s="1529"/>
      <c r="J754" s="1529"/>
      <c r="K754" s="1529"/>
      <c r="L754" s="1529"/>
      <c r="M754" s="1529"/>
      <c r="N754" s="1529"/>
      <c r="O754" s="1529"/>
      <c r="P754" s="1529"/>
      <c r="Q754" s="1529"/>
      <c r="R754" s="1529"/>
      <c r="S754" s="1529"/>
      <c r="T754" s="1529"/>
      <c r="U754" s="1529"/>
      <c r="V754" s="1529"/>
      <c r="W754" s="1529"/>
      <c r="X754" s="1529"/>
      <c r="Y754" s="1529"/>
      <c r="Z754" s="1529"/>
      <c r="AA754" s="1529"/>
      <c r="AB754" s="1529"/>
      <c r="AC754" s="1529"/>
      <c r="AD754" s="1529"/>
      <c r="AE754" s="1529"/>
      <c r="AF754" s="1529"/>
      <c r="AG754" s="1529"/>
    </row>
    <row r="755" spans="1:33" ht="23.25" hidden="1" customHeight="1" thickBot="1">
      <c r="A755" s="1528">
        <v>91</v>
      </c>
      <c r="B755" s="1531">
        <v>1.7224300000000002E+35</v>
      </c>
      <c r="C755" s="1528" t="s">
        <v>2641</v>
      </c>
      <c r="D755" s="1528" t="s">
        <v>2768</v>
      </c>
      <c r="E755" s="1528">
        <v>41551.199999999997</v>
      </c>
      <c r="F755" s="1528"/>
      <c r="G755" s="1528">
        <v>41551.199999999997</v>
      </c>
      <c r="H755" s="1528">
        <v>41551.199999999997</v>
      </c>
      <c r="I755" s="1528">
        <v>0</v>
      </c>
      <c r="J755" s="1528">
        <v>0</v>
      </c>
      <c r="K755" s="1528">
        <v>0</v>
      </c>
      <c r="L755" s="1528" t="s">
        <v>2129</v>
      </c>
      <c r="M755" s="1528" t="s">
        <v>2129</v>
      </c>
      <c r="N755" s="1528" t="s">
        <v>2129</v>
      </c>
      <c r="O755" s="1528" t="s">
        <v>2129</v>
      </c>
      <c r="P755" s="1528" t="s">
        <v>2129</v>
      </c>
      <c r="Q755" s="1528" t="s">
        <v>2129</v>
      </c>
      <c r="R755" s="1528" t="s">
        <v>2129</v>
      </c>
      <c r="S755" s="1410" t="s">
        <v>2243</v>
      </c>
      <c r="T755" s="1528">
        <v>415.51</v>
      </c>
      <c r="U755" s="1528">
        <v>2090.0300000000002</v>
      </c>
      <c r="V755" s="1528">
        <v>5.2016999999999998</v>
      </c>
      <c r="W755" s="1528">
        <v>12.201700000000001</v>
      </c>
      <c r="X755" s="1528" t="s">
        <v>2281</v>
      </c>
      <c r="Y755" s="1528" t="s">
        <v>2132</v>
      </c>
      <c r="Z755" s="1528" t="s">
        <v>2282</v>
      </c>
      <c r="AA755" s="1528"/>
      <c r="AB755" s="1528"/>
      <c r="AC755" s="1528"/>
      <c r="AD755" s="1528" t="s">
        <v>2668</v>
      </c>
      <c r="AE755" s="1410" t="s">
        <v>2134</v>
      </c>
      <c r="AF755" s="1528"/>
      <c r="AG755" s="1528" t="s">
        <v>2283</v>
      </c>
    </row>
    <row r="756" spans="1:33" ht="93" hidden="1" thickBot="1">
      <c r="A756" s="1530"/>
      <c r="B756" s="1532"/>
      <c r="C756" s="1530"/>
      <c r="D756" s="1529"/>
      <c r="E756" s="1529"/>
      <c r="F756" s="1529"/>
      <c r="G756" s="1529"/>
      <c r="H756" s="1529"/>
      <c r="I756" s="1529"/>
      <c r="J756" s="1529"/>
      <c r="K756" s="1529"/>
      <c r="L756" s="1529"/>
      <c r="M756" s="1529"/>
      <c r="N756" s="1529"/>
      <c r="O756" s="1529"/>
      <c r="P756" s="1529"/>
      <c r="Q756" s="1529"/>
      <c r="R756" s="1529"/>
      <c r="S756" s="1409" t="s">
        <v>2700</v>
      </c>
      <c r="T756" s="1529"/>
      <c r="U756" s="1529"/>
      <c r="V756" s="1529"/>
      <c r="W756" s="1529"/>
      <c r="X756" s="1529"/>
      <c r="Y756" s="1529"/>
      <c r="Z756" s="1529"/>
      <c r="AA756" s="1529"/>
      <c r="AB756" s="1529"/>
      <c r="AC756" s="1529"/>
      <c r="AD756" s="1529"/>
      <c r="AE756" s="1409" t="s">
        <v>2136</v>
      </c>
      <c r="AF756" s="1529"/>
      <c r="AG756" s="1529"/>
    </row>
    <row r="757" spans="1:33" ht="27" hidden="1" thickBot="1">
      <c r="A757" s="1530"/>
      <c r="B757" s="1532"/>
      <c r="C757" s="1530"/>
      <c r="D757" s="1410" t="s">
        <v>2341</v>
      </c>
      <c r="E757" s="1528" t="s">
        <v>2129</v>
      </c>
      <c r="F757" s="1528" t="s">
        <v>2129</v>
      </c>
      <c r="G757" s="1528" t="s">
        <v>2129</v>
      </c>
      <c r="H757" s="1528" t="s">
        <v>2129</v>
      </c>
      <c r="I757" s="1528" t="s">
        <v>2129</v>
      </c>
      <c r="J757" s="1528" t="s">
        <v>2129</v>
      </c>
      <c r="K757" s="1528" t="s">
        <v>2129</v>
      </c>
      <c r="L757" s="1528" t="s">
        <v>2286</v>
      </c>
      <c r="M757" s="1528">
        <v>166</v>
      </c>
      <c r="N757" s="1528">
        <v>1</v>
      </c>
      <c r="O757" s="1528">
        <v>1</v>
      </c>
      <c r="P757" s="1528"/>
      <c r="Q757" s="1528"/>
      <c r="R757" s="1528"/>
      <c r="S757" s="1528" t="s">
        <v>2129</v>
      </c>
      <c r="T757" s="1528" t="s">
        <v>2129</v>
      </c>
      <c r="U757" s="1528" t="s">
        <v>2129</v>
      </c>
      <c r="V757" s="1528" t="s">
        <v>2129</v>
      </c>
      <c r="W757" s="1528" t="s">
        <v>2129</v>
      </c>
      <c r="X757" s="1528" t="s">
        <v>2129</v>
      </c>
      <c r="Y757" s="1528" t="s">
        <v>2129</v>
      </c>
      <c r="Z757" s="1528" t="s">
        <v>2129</v>
      </c>
      <c r="AA757" s="1528" t="s">
        <v>2129</v>
      </c>
      <c r="AB757" s="1528" t="s">
        <v>2129</v>
      </c>
      <c r="AC757" s="1528" t="s">
        <v>2129</v>
      </c>
      <c r="AD757" s="1528" t="s">
        <v>2129</v>
      </c>
      <c r="AE757" s="1528" t="s">
        <v>2129</v>
      </c>
      <c r="AF757" s="1528" t="s">
        <v>2129</v>
      </c>
      <c r="AG757" s="1528" t="s">
        <v>2129</v>
      </c>
    </row>
    <row r="758" spans="1:33" ht="159" hidden="1" thickBot="1">
      <c r="A758" s="1530"/>
      <c r="B758" s="1532"/>
      <c r="C758" s="1530"/>
      <c r="D758" s="1409" t="s">
        <v>2769</v>
      </c>
      <c r="E758" s="1529"/>
      <c r="F758" s="1529"/>
      <c r="G758" s="1529"/>
      <c r="H758" s="1529"/>
      <c r="I758" s="1529"/>
      <c r="J758" s="1529"/>
      <c r="K758" s="1529"/>
      <c r="L758" s="1529"/>
      <c r="M758" s="1529"/>
      <c r="N758" s="1529"/>
      <c r="O758" s="1529"/>
      <c r="P758" s="1529"/>
      <c r="Q758" s="1529"/>
      <c r="R758" s="1529"/>
      <c r="S758" s="1529"/>
      <c r="T758" s="1529"/>
      <c r="U758" s="1529"/>
      <c r="V758" s="1529"/>
      <c r="W758" s="1529"/>
      <c r="X758" s="1529"/>
      <c r="Y758" s="1529"/>
      <c r="Z758" s="1529"/>
      <c r="AA758" s="1529"/>
      <c r="AB758" s="1529"/>
      <c r="AC758" s="1529"/>
      <c r="AD758" s="1529"/>
      <c r="AE758" s="1529"/>
      <c r="AF758" s="1529"/>
      <c r="AG758" s="1529"/>
    </row>
    <row r="759" spans="1:33" ht="15.75" hidden="1" thickBot="1">
      <c r="A759" s="1530"/>
      <c r="B759" s="1532"/>
      <c r="C759" s="1530"/>
      <c r="D759" s="1410" t="s">
        <v>2336</v>
      </c>
      <c r="E759" s="1528" t="s">
        <v>2129</v>
      </c>
      <c r="F759" s="1528" t="s">
        <v>2129</v>
      </c>
      <c r="G759" s="1528" t="s">
        <v>2129</v>
      </c>
      <c r="H759" s="1528" t="s">
        <v>2129</v>
      </c>
      <c r="I759" s="1528" t="s">
        <v>2129</v>
      </c>
      <c r="J759" s="1528" t="s">
        <v>2129</v>
      </c>
      <c r="K759" s="1528" t="s">
        <v>2129</v>
      </c>
      <c r="L759" s="1528" t="s">
        <v>2286</v>
      </c>
      <c r="M759" s="1528">
        <v>166</v>
      </c>
      <c r="N759" s="1528">
        <v>200</v>
      </c>
      <c r="O759" s="1528">
        <v>200</v>
      </c>
      <c r="P759" s="1528"/>
      <c r="Q759" s="1528"/>
      <c r="R759" s="1528"/>
      <c r="S759" s="1528" t="s">
        <v>2129</v>
      </c>
      <c r="T759" s="1528" t="s">
        <v>2129</v>
      </c>
      <c r="U759" s="1528" t="s">
        <v>2129</v>
      </c>
      <c r="V759" s="1528" t="s">
        <v>2129</v>
      </c>
      <c r="W759" s="1528" t="s">
        <v>2129</v>
      </c>
      <c r="X759" s="1528" t="s">
        <v>2129</v>
      </c>
      <c r="Y759" s="1528" t="s">
        <v>2129</v>
      </c>
      <c r="Z759" s="1528" t="s">
        <v>2129</v>
      </c>
      <c r="AA759" s="1528" t="s">
        <v>2129</v>
      </c>
      <c r="AB759" s="1528" t="s">
        <v>2129</v>
      </c>
      <c r="AC759" s="1528" t="s">
        <v>2129</v>
      </c>
      <c r="AD759" s="1528" t="s">
        <v>2129</v>
      </c>
      <c r="AE759" s="1528" t="s">
        <v>2129</v>
      </c>
      <c r="AF759" s="1528" t="s">
        <v>2129</v>
      </c>
      <c r="AG759" s="1528" t="s">
        <v>2129</v>
      </c>
    </row>
    <row r="760" spans="1:33" ht="93" hidden="1" thickBot="1">
      <c r="A760" s="1530"/>
      <c r="B760" s="1532"/>
      <c r="C760" s="1530"/>
      <c r="D760" s="1409" t="s">
        <v>2770</v>
      </c>
      <c r="E760" s="1529"/>
      <c r="F760" s="1529"/>
      <c r="G760" s="1529"/>
      <c r="H760" s="1529"/>
      <c r="I760" s="1529"/>
      <c r="J760" s="1529"/>
      <c r="K760" s="1529"/>
      <c r="L760" s="1529"/>
      <c r="M760" s="1529"/>
      <c r="N760" s="1529"/>
      <c r="O760" s="1529"/>
      <c r="P760" s="1529"/>
      <c r="Q760" s="1529"/>
      <c r="R760" s="1529"/>
      <c r="S760" s="1529"/>
      <c r="T760" s="1529"/>
      <c r="U760" s="1529"/>
      <c r="V760" s="1529"/>
      <c r="W760" s="1529"/>
      <c r="X760" s="1529"/>
      <c r="Y760" s="1529"/>
      <c r="Z760" s="1529"/>
      <c r="AA760" s="1529"/>
      <c r="AB760" s="1529"/>
      <c r="AC760" s="1529"/>
      <c r="AD760" s="1529"/>
      <c r="AE760" s="1529"/>
      <c r="AF760" s="1529"/>
      <c r="AG760" s="1529"/>
    </row>
    <row r="761" spans="1:33" ht="27" hidden="1" thickBot="1">
      <c r="A761" s="1530"/>
      <c r="B761" s="1532"/>
      <c r="C761" s="1530"/>
      <c r="D761" s="1410" t="s">
        <v>2771</v>
      </c>
      <c r="E761" s="1528" t="s">
        <v>2129</v>
      </c>
      <c r="F761" s="1528" t="s">
        <v>2129</v>
      </c>
      <c r="G761" s="1528" t="s">
        <v>2129</v>
      </c>
      <c r="H761" s="1528" t="s">
        <v>2129</v>
      </c>
      <c r="I761" s="1528" t="s">
        <v>2129</v>
      </c>
      <c r="J761" s="1528" t="s">
        <v>2129</v>
      </c>
      <c r="K761" s="1528" t="s">
        <v>2129</v>
      </c>
      <c r="L761" s="1528" t="s">
        <v>2286</v>
      </c>
      <c r="M761" s="1528">
        <v>166</v>
      </c>
      <c r="N761" s="1528">
        <v>199</v>
      </c>
      <c r="O761" s="1528">
        <v>199</v>
      </c>
      <c r="P761" s="1528"/>
      <c r="Q761" s="1528"/>
      <c r="R761" s="1528"/>
      <c r="S761" s="1528" t="s">
        <v>2129</v>
      </c>
      <c r="T761" s="1528" t="s">
        <v>2129</v>
      </c>
      <c r="U761" s="1528" t="s">
        <v>2129</v>
      </c>
      <c r="V761" s="1528" t="s">
        <v>2129</v>
      </c>
      <c r="W761" s="1528" t="s">
        <v>2129</v>
      </c>
      <c r="X761" s="1528" t="s">
        <v>2129</v>
      </c>
      <c r="Y761" s="1528" t="s">
        <v>2129</v>
      </c>
      <c r="Z761" s="1528" t="s">
        <v>2129</v>
      </c>
      <c r="AA761" s="1528" t="s">
        <v>2129</v>
      </c>
      <c r="AB761" s="1528" t="s">
        <v>2129</v>
      </c>
      <c r="AC761" s="1528" t="s">
        <v>2129</v>
      </c>
      <c r="AD761" s="1528" t="s">
        <v>2129</v>
      </c>
      <c r="AE761" s="1528" t="s">
        <v>2129</v>
      </c>
      <c r="AF761" s="1528" t="s">
        <v>2129</v>
      </c>
      <c r="AG761" s="1528" t="s">
        <v>2129</v>
      </c>
    </row>
    <row r="762" spans="1:33" ht="109.5" hidden="1" thickBot="1">
      <c r="A762" s="1529"/>
      <c r="B762" s="1533"/>
      <c r="C762" s="1529"/>
      <c r="D762" s="1409" t="s">
        <v>2772</v>
      </c>
      <c r="E762" s="1529"/>
      <c r="F762" s="1529"/>
      <c r="G762" s="1529"/>
      <c r="H762" s="1529"/>
      <c r="I762" s="1529"/>
      <c r="J762" s="1529"/>
      <c r="K762" s="1529"/>
      <c r="L762" s="1529"/>
      <c r="M762" s="1529"/>
      <c r="N762" s="1529"/>
      <c r="O762" s="1529"/>
      <c r="P762" s="1529"/>
      <c r="Q762" s="1529"/>
      <c r="R762" s="1529"/>
      <c r="S762" s="1529"/>
      <c r="T762" s="1529"/>
      <c r="U762" s="1529"/>
      <c r="V762" s="1529"/>
      <c r="W762" s="1529"/>
      <c r="X762" s="1529"/>
      <c r="Y762" s="1529"/>
      <c r="Z762" s="1529"/>
      <c r="AA762" s="1529"/>
      <c r="AB762" s="1529"/>
      <c r="AC762" s="1529"/>
      <c r="AD762" s="1529"/>
      <c r="AE762" s="1529"/>
      <c r="AF762" s="1529"/>
      <c r="AG762" s="1529"/>
    </row>
    <row r="763" spans="1:33" ht="23.25" customHeight="1" thickBot="1">
      <c r="A763" s="1528">
        <v>92</v>
      </c>
      <c r="B763" s="1531">
        <v>1.7224300000000002E+35</v>
      </c>
      <c r="C763" s="1528" t="s">
        <v>2773</v>
      </c>
      <c r="D763" s="1528" t="s">
        <v>2774</v>
      </c>
      <c r="E763" s="1528">
        <v>22909.200000000001</v>
      </c>
      <c r="F763" s="1528"/>
      <c r="G763" s="1528">
        <v>22909.200000000001</v>
      </c>
      <c r="H763" s="1528">
        <v>22909.200000000001</v>
      </c>
      <c r="I763" s="1528">
        <v>0</v>
      </c>
      <c r="J763" s="1528">
        <v>0</v>
      </c>
      <c r="K763" s="1528">
        <v>0</v>
      </c>
      <c r="L763" s="1528" t="s">
        <v>2129</v>
      </c>
      <c r="M763" s="1528" t="s">
        <v>2129</v>
      </c>
      <c r="N763" s="1528" t="s">
        <v>2129</v>
      </c>
      <c r="O763" s="1528" t="s">
        <v>2129</v>
      </c>
      <c r="P763" s="1528" t="s">
        <v>2129</v>
      </c>
      <c r="Q763" s="1528" t="s">
        <v>2129</v>
      </c>
      <c r="R763" s="1528" t="s">
        <v>2129</v>
      </c>
      <c r="S763" s="1410" t="s">
        <v>2149</v>
      </c>
      <c r="T763" s="1528">
        <v>229.09</v>
      </c>
      <c r="U763" s="1528">
        <v>1775.46</v>
      </c>
      <c r="V763" s="1528">
        <v>7.2016999999999998</v>
      </c>
      <c r="W763" s="1528">
        <v>8.2018000000000004</v>
      </c>
      <c r="X763" s="1528" t="s">
        <v>2281</v>
      </c>
      <c r="Y763" s="1528" t="s">
        <v>2132</v>
      </c>
      <c r="Z763" s="1528" t="s">
        <v>2282</v>
      </c>
      <c r="AA763" s="1528" t="s">
        <v>2301</v>
      </c>
      <c r="AB763" s="1528"/>
      <c r="AC763" s="1528"/>
      <c r="AD763" s="1528" t="s">
        <v>2133</v>
      </c>
      <c r="AE763" s="1410" t="s">
        <v>2134</v>
      </c>
      <c r="AF763" s="1528"/>
      <c r="AG763" s="1528" t="s">
        <v>2283</v>
      </c>
    </row>
    <row r="764" spans="1:33" ht="93" hidden="1" thickBot="1">
      <c r="A764" s="1530"/>
      <c r="B764" s="1532"/>
      <c r="C764" s="1530"/>
      <c r="D764" s="1530"/>
      <c r="E764" s="1530"/>
      <c r="F764" s="1530"/>
      <c r="G764" s="1530"/>
      <c r="H764" s="1530"/>
      <c r="I764" s="1530"/>
      <c r="J764" s="1530"/>
      <c r="K764" s="1530"/>
      <c r="L764" s="1530"/>
      <c r="M764" s="1530"/>
      <c r="N764" s="1530"/>
      <c r="O764" s="1530"/>
      <c r="P764" s="1530"/>
      <c r="Q764" s="1530"/>
      <c r="R764" s="1530"/>
      <c r="S764" s="1410" t="s">
        <v>2775</v>
      </c>
      <c r="T764" s="1530"/>
      <c r="U764" s="1530"/>
      <c r="V764" s="1530"/>
      <c r="W764" s="1530"/>
      <c r="X764" s="1530"/>
      <c r="Y764" s="1530"/>
      <c r="Z764" s="1530"/>
      <c r="AA764" s="1530"/>
      <c r="AB764" s="1530"/>
      <c r="AC764" s="1530"/>
      <c r="AD764" s="1530"/>
      <c r="AE764" s="1410" t="s">
        <v>2136</v>
      </c>
      <c r="AF764" s="1530"/>
      <c r="AG764" s="1530"/>
    </row>
    <row r="765" spans="1:33" ht="15.75" hidden="1" thickBot="1">
      <c r="A765" s="1530"/>
      <c r="B765" s="1532"/>
      <c r="C765" s="1530"/>
      <c r="D765" s="1529"/>
      <c r="E765" s="1529"/>
      <c r="F765" s="1529"/>
      <c r="G765" s="1529"/>
      <c r="H765" s="1529"/>
      <c r="I765" s="1529"/>
      <c r="J765" s="1529"/>
      <c r="K765" s="1529"/>
      <c r="L765" s="1529"/>
      <c r="M765" s="1529"/>
      <c r="N765" s="1529"/>
      <c r="O765" s="1529"/>
      <c r="P765" s="1529"/>
      <c r="Q765" s="1529"/>
      <c r="R765" s="1529"/>
      <c r="S765" s="1409"/>
      <c r="T765" s="1529"/>
      <c r="U765" s="1529"/>
      <c r="V765" s="1529"/>
      <c r="W765" s="1529"/>
      <c r="X765" s="1529"/>
      <c r="Y765" s="1529"/>
      <c r="Z765" s="1529"/>
      <c r="AA765" s="1529"/>
      <c r="AB765" s="1529"/>
      <c r="AC765" s="1529"/>
      <c r="AD765" s="1529"/>
      <c r="AE765" s="1409"/>
      <c r="AF765" s="1529"/>
      <c r="AG765" s="1529"/>
    </row>
    <row r="766" spans="1:33" ht="15.75" hidden="1" thickBot="1">
      <c r="A766" s="1530"/>
      <c r="B766" s="1532"/>
      <c r="C766" s="1530"/>
      <c r="D766" s="1409" t="s">
        <v>2776</v>
      </c>
      <c r="E766" s="1409" t="s">
        <v>2129</v>
      </c>
      <c r="F766" s="1409" t="s">
        <v>2129</v>
      </c>
      <c r="G766" s="1409" t="s">
        <v>2129</v>
      </c>
      <c r="H766" s="1409" t="s">
        <v>2129</v>
      </c>
      <c r="I766" s="1409" t="s">
        <v>2129</v>
      </c>
      <c r="J766" s="1409" t="s">
        <v>2129</v>
      </c>
      <c r="K766" s="1409" t="s">
        <v>2129</v>
      </c>
      <c r="L766" s="1409" t="s">
        <v>2286</v>
      </c>
      <c r="M766" s="1409">
        <v>166</v>
      </c>
      <c r="N766" s="1409">
        <v>640</v>
      </c>
      <c r="O766" s="1409">
        <v>640</v>
      </c>
      <c r="P766" s="1409"/>
      <c r="Q766" s="1409"/>
      <c r="R766" s="1409"/>
      <c r="S766" s="1409" t="s">
        <v>2129</v>
      </c>
      <c r="T766" s="1409" t="s">
        <v>2129</v>
      </c>
      <c r="U766" s="1409" t="s">
        <v>2129</v>
      </c>
      <c r="V766" s="1409" t="s">
        <v>2129</v>
      </c>
      <c r="W766" s="1409" t="s">
        <v>2129</v>
      </c>
      <c r="X766" s="1409" t="s">
        <v>2129</v>
      </c>
      <c r="Y766" s="1409" t="s">
        <v>2129</v>
      </c>
      <c r="Z766" s="1409" t="s">
        <v>2129</v>
      </c>
      <c r="AA766" s="1409" t="s">
        <v>2129</v>
      </c>
      <c r="AB766" s="1409" t="s">
        <v>2129</v>
      </c>
      <c r="AC766" s="1409" t="s">
        <v>2129</v>
      </c>
      <c r="AD766" s="1409" t="s">
        <v>2129</v>
      </c>
      <c r="AE766" s="1409" t="s">
        <v>2129</v>
      </c>
      <c r="AF766" s="1409" t="s">
        <v>2129</v>
      </c>
      <c r="AG766" s="1409" t="s">
        <v>2129</v>
      </c>
    </row>
    <row r="767" spans="1:33" ht="18.75" hidden="1" thickBot="1">
      <c r="A767" s="1530"/>
      <c r="B767" s="1532"/>
      <c r="C767" s="1530"/>
      <c r="D767" s="1409" t="s">
        <v>2777</v>
      </c>
      <c r="E767" s="1409" t="s">
        <v>2129</v>
      </c>
      <c r="F767" s="1409" t="s">
        <v>2129</v>
      </c>
      <c r="G767" s="1409" t="s">
        <v>2129</v>
      </c>
      <c r="H767" s="1409" t="s">
        <v>2129</v>
      </c>
      <c r="I767" s="1409" t="s">
        <v>2129</v>
      </c>
      <c r="J767" s="1409" t="s">
        <v>2129</v>
      </c>
      <c r="K767" s="1409" t="s">
        <v>2129</v>
      </c>
      <c r="L767" s="1409" t="s">
        <v>2286</v>
      </c>
      <c r="M767" s="1409">
        <v>166</v>
      </c>
      <c r="N767" s="1409">
        <v>960</v>
      </c>
      <c r="O767" s="1409">
        <v>960</v>
      </c>
      <c r="P767" s="1409"/>
      <c r="Q767" s="1409"/>
      <c r="R767" s="1409"/>
      <c r="S767" s="1409" t="s">
        <v>2129</v>
      </c>
      <c r="T767" s="1409" t="s">
        <v>2129</v>
      </c>
      <c r="U767" s="1409" t="s">
        <v>2129</v>
      </c>
      <c r="V767" s="1409" t="s">
        <v>2129</v>
      </c>
      <c r="W767" s="1409" t="s">
        <v>2129</v>
      </c>
      <c r="X767" s="1409" t="s">
        <v>2129</v>
      </c>
      <c r="Y767" s="1409" t="s">
        <v>2129</v>
      </c>
      <c r="Z767" s="1409" t="s">
        <v>2129</v>
      </c>
      <c r="AA767" s="1409" t="s">
        <v>2129</v>
      </c>
      <c r="AB767" s="1409" t="s">
        <v>2129</v>
      </c>
      <c r="AC767" s="1409" t="s">
        <v>2129</v>
      </c>
      <c r="AD767" s="1409" t="s">
        <v>2129</v>
      </c>
      <c r="AE767" s="1409" t="s">
        <v>2129</v>
      </c>
      <c r="AF767" s="1409" t="s">
        <v>2129</v>
      </c>
      <c r="AG767" s="1409" t="s">
        <v>2129</v>
      </c>
    </row>
    <row r="768" spans="1:33" ht="15.75" hidden="1" thickBot="1">
      <c r="A768" s="1530"/>
      <c r="B768" s="1532"/>
      <c r="C768" s="1530"/>
      <c r="D768" s="1409" t="s">
        <v>2778</v>
      </c>
      <c r="E768" s="1409" t="s">
        <v>2129</v>
      </c>
      <c r="F768" s="1409" t="s">
        <v>2129</v>
      </c>
      <c r="G768" s="1409" t="s">
        <v>2129</v>
      </c>
      <c r="H768" s="1409" t="s">
        <v>2129</v>
      </c>
      <c r="I768" s="1409" t="s">
        <v>2129</v>
      </c>
      <c r="J768" s="1409" t="s">
        <v>2129</v>
      </c>
      <c r="K768" s="1409" t="s">
        <v>2129</v>
      </c>
      <c r="L768" s="1409" t="s">
        <v>2286</v>
      </c>
      <c r="M768" s="1409">
        <v>166</v>
      </c>
      <c r="N768" s="1409">
        <v>200</v>
      </c>
      <c r="O768" s="1409">
        <v>200</v>
      </c>
      <c r="P768" s="1409"/>
      <c r="Q768" s="1409"/>
      <c r="R768" s="1409"/>
      <c r="S768" s="1409" t="s">
        <v>2129</v>
      </c>
      <c r="T768" s="1409" t="s">
        <v>2129</v>
      </c>
      <c r="U768" s="1409" t="s">
        <v>2129</v>
      </c>
      <c r="V768" s="1409" t="s">
        <v>2129</v>
      </c>
      <c r="W768" s="1409" t="s">
        <v>2129</v>
      </c>
      <c r="X768" s="1409" t="s">
        <v>2129</v>
      </c>
      <c r="Y768" s="1409" t="s">
        <v>2129</v>
      </c>
      <c r="Z768" s="1409" t="s">
        <v>2129</v>
      </c>
      <c r="AA768" s="1409" t="s">
        <v>2129</v>
      </c>
      <c r="AB768" s="1409" t="s">
        <v>2129</v>
      </c>
      <c r="AC768" s="1409" t="s">
        <v>2129</v>
      </c>
      <c r="AD768" s="1409" t="s">
        <v>2129</v>
      </c>
      <c r="AE768" s="1409" t="s">
        <v>2129</v>
      </c>
      <c r="AF768" s="1409" t="s">
        <v>2129</v>
      </c>
      <c r="AG768" s="1409" t="s">
        <v>2129</v>
      </c>
    </row>
    <row r="769" spans="1:33" ht="15.75" hidden="1" thickBot="1">
      <c r="A769" s="1529"/>
      <c r="B769" s="1533"/>
      <c r="C769" s="1529"/>
      <c r="D769" s="1409" t="s">
        <v>2779</v>
      </c>
      <c r="E769" s="1409" t="s">
        <v>2129</v>
      </c>
      <c r="F769" s="1409" t="s">
        <v>2129</v>
      </c>
      <c r="G769" s="1409" t="s">
        <v>2129</v>
      </c>
      <c r="H769" s="1409" t="s">
        <v>2129</v>
      </c>
      <c r="I769" s="1409" t="s">
        <v>2129</v>
      </c>
      <c r="J769" s="1409" t="s">
        <v>2129</v>
      </c>
      <c r="K769" s="1409" t="s">
        <v>2129</v>
      </c>
      <c r="L769" s="1409" t="s">
        <v>2286</v>
      </c>
      <c r="M769" s="1409">
        <v>166</v>
      </c>
      <c r="N769" s="1409">
        <v>100</v>
      </c>
      <c r="O769" s="1409">
        <v>100</v>
      </c>
      <c r="P769" s="1409"/>
      <c r="Q769" s="1409"/>
      <c r="R769" s="1409"/>
      <c r="S769" s="1409" t="s">
        <v>2129</v>
      </c>
      <c r="T769" s="1409" t="s">
        <v>2129</v>
      </c>
      <c r="U769" s="1409" t="s">
        <v>2129</v>
      </c>
      <c r="V769" s="1409" t="s">
        <v>2129</v>
      </c>
      <c r="W769" s="1409" t="s">
        <v>2129</v>
      </c>
      <c r="X769" s="1409" t="s">
        <v>2129</v>
      </c>
      <c r="Y769" s="1409" t="s">
        <v>2129</v>
      </c>
      <c r="Z769" s="1409" t="s">
        <v>2129</v>
      </c>
      <c r="AA769" s="1409" t="s">
        <v>2129</v>
      </c>
      <c r="AB769" s="1409" t="s">
        <v>2129</v>
      </c>
      <c r="AC769" s="1409" t="s">
        <v>2129</v>
      </c>
      <c r="AD769" s="1409" t="s">
        <v>2129</v>
      </c>
      <c r="AE769" s="1409" t="s">
        <v>2129</v>
      </c>
      <c r="AF769" s="1409" t="s">
        <v>2129</v>
      </c>
      <c r="AG769" s="1409" t="s">
        <v>2129</v>
      </c>
    </row>
    <row r="770" spans="1:33" ht="25.5" hidden="1" customHeight="1">
      <c r="A770" s="1528">
        <v>93</v>
      </c>
      <c r="B770" s="1531">
        <v>1.7224300000000002E+35</v>
      </c>
      <c r="C770" s="1528" t="s">
        <v>2780</v>
      </c>
      <c r="D770" s="1528" t="s">
        <v>2781</v>
      </c>
      <c r="E770" s="1528">
        <v>512857</v>
      </c>
      <c r="F770" s="1528"/>
      <c r="G770" s="1528">
        <v>512857</v>
      </c>
      <c r="H770" s="1528">
        <v>512857</v>
      </c>
      <c r="I770" s="1528">
        <v>0</v>
      </c>
      <c r="J770" s="1528">
        <v>0</v>
      </c>
      <c r="K770" s="1528">
        <v>0</v>
      </c>
      <c r="L770" s="1528" t="s">
        <v>2129</v>
      </c>
      <c r="M770" s="1528" t="s">
        <v>2129</v>
      </c>
      <c r="N770" s="1528" t="s">
        <v>2129</v>
      </c>
      <c r="O770" s="1528" t="s">
        <v>2129</v>
      </c>
      <c r="P770" s="1528" t="s">
        <v>2129</v>
      </c>
      <c r="Q770" s="1528" t="s">
        <v>2129</v>
      </c>
      <c r="R770" s="1528" t="s">
        <v>2129</v>
      </c>
      <c r="S770" s="1410" t="s">
        <v>2130</v>
      </c>
      <c r="T770" s="1528"/>
      <c r="U770" s="1528"/>
      <c r="V770" s="1528">
        <v>9.2017000000000007</v>
      </c>
      <c r="W770" s="1528">
        <v>12.201700000000001</v>
      </c>
      <c r="X770" s="1528" t="s">
        <v>2131</v>
      </c>
      <c r="Y770" s="1528" t="s">
        <v>2132</v>
      </c>
      <c r="Z770" s="1528" t="s">
        <v>2132</v>
      </c>
      <c r="AA770" s="1528"/>
      <c r="AB770" s="1528"/>
      <c r="AC770" s="1528"/>
      <c r="AD770" s="1528" t="s">
        <v>2133</v>
      </c>
      <c r="AE770" s="1410" t="s">
        <v>2134</v>
      </c>
      <c r="AF770" s="1528"/>
      <c r="AG770" s="1528"/>
    </row>
    <row r="771" spans="1:33" ht="84.75" hidden="1" thickBot="1">
      <c r="A771" s="1530"/>
      <c r="B771" s="1532"/>
      <c r="C771" s="1530"/>
      <c r="D771" s="1529"/>
      <c r="E771" s="1529"/>
      <c r="F771" s="1529"/>
      <c r="G771" s="1529"/>
      <c r="H771" s="1529"/>
      <c r="I771" s="1529"/>
      <c r="J771" s="1529"/>
      <c r="K771" s="1529"/>
      <c r="L771" s="1529"/>
      <c r="M771" s="1529"/>
      <c r="N771" s="1529"/>
      <c r="O771" s="1529"/>
      <c r="P771" s="1529"/>
      <c r="Q771" s="1529"/>
      <c r="R771" s="1529"/>
      <c r="S771" s="1409" t="s">
        <v>2325</v>
      </c>
      <c r="T771" s="1529"/>
      <c r="U771" s="1529"/>
      <c r="V771" s="1529"/>
      <c r="W771" s="1529"/>
      <c r="X771" s="1529"/>
      <c r="Y771" s="1529"/>
      <c r="Z771" s="1529"/>
      <c r="AA771" s="1529"/>
      <c r="AB771" s="1529"/>
      <c r="AC771" s="1529"/>
      <c r="AD771" s="1529"/>
      <c r="AE771" s="1409" t="s">
        <v>2136</v>
      </c>
      <c r="AF771" s="1529"/>
      <c r="AG771" s="1529"/>
    </row>
    <row r="772" spans="1:33" ht="15.75" hidden="1" thickBot="1">
      <c r="A772" s="1529"/>
      <c r="B772" s="1533"/>
      <c r="C772" s="1529"/>
      <c r="D772" s="1409" t="s">
        <v>2782</v>
      </c>
      <c r="E772" s="1409" t="s">
        <v>2129</v>
      </c>
      <c r="F772" s="1409" t="s">
        <v>2129</v>
      </c>
      <c r="G772" s="1409" t="s">
        <v>2129</v>
      </c>
      <c r="H772" s="1409" t="s">
        <v>2129</v>
      </c>
      <c r="I772" s="1409" t="s">
        <v>2129</v>
      </c>
      <c r="J772" s="1409" t="s">
        <v>2129</v>
      </c>
      <c r="K772" s="1409" t="s">
        <v>2129</v>
      </c>
      <c r="L772" s="1409" t="s">
        <v>2141</v>
      </c>
      <c r="M772" s="1409">
        <v>233</v>
      </c>
      <c r="N772" s="1409">
        <v>100.11</v>
      </c>
      <c r="O772" s="1409">
        <v>100.11</v>
      </c>
      <c r="P772" s="1409"/>
      <c r="Q772" s="1409"/>
      <c r="R772" s="1409"/>
      <c r="S772" s="1409" t="s">
        <v>2129</v>
      </c>
      <c r="T772" s="1409" t="s">
        <v>2129</v>
      </c>
      <c r="U772" s="1409" t="s">
        <v>2129</v>
      </c>
      <c r="V772" s="1409" t="s">
        <v>2129</v>
      </c>
      <c r="W772" s="1409" t="s">
        <v>2129</v>
      </c>
      <c r="X772" s="1409" t="s">
        <v>2129</v>
      </c>
      <c r="Y772" s="1409" t="s">
        <v>2129</v>
      </c>
      <c r="Z772" s="1409" t="s">
        <v>2129</v>
      </c>
      <c r="AA772" s="1409" t="s">
        <v>2129</v>
      </c>
      <c r="AB772" s="1409" t="s">
        <v>2129</v>
      </c>
      <c r="AC772" s="1409" t="s">
        <v>2129</v>
      </c>
      <c r="AD772" s="1409" t="s">
        <v>2129</v>
      </c>
      <c r="AE772" s="1409" t="s">
        <v>2129</v>
      </c>
      <c r="AF772" s="1409" t="s">
        <v>2129</v>
      </c>
      <c r="AG772" s="1409" t="s">
        <v>2129</v>
      </c>
    </row>
    <row r="773" spans="1:33" ht="25.5" hidden="1" customHeight="1">
      <c r="A773" s="1528">
        <v>94</v>
      </c>
      <c r="B773" s="1531">
        <v>1.7224300000000002E+35</v>
      </c>
      <c r="C773" s="1528" t="s">
        <v>2783</v>
      </c>
      <c r="D773" s="1528" t="s">
        <v>2145</v>
      </c>
      <c r="E773" s="1528">
        <v>7722.6</v>
      </c>
      <c r="F773" s="1528"/>
      <c r="G773" s="1528">
        <v>7722.6</v>
      </c>
      <c r="H773" s="1528">
        <v>7722.6</v>
      </c>
      <c r="I773" s="1528">
        <v>0</v>
      </c>
      <c r="J773" s="1528">
        <v>0</v>
      </c>
      <c r="K773" s="1528">
        <v>0</v>
      </c>
      <c r="L773" s="1528" t="s">
        <v>2129</v>
      </c>
      <c r="M773" s="1528" t="s">
        <v>2129</v>
      </c>
      <c r="N773" s="1528" t="s">
        <v>2129</v>
      </c>
      <c r="O773" s="1528" t="s">
        <v>2129</v>
      </c>
      <c r="P773" s="1528" t="s">
        <v>2129</v>
      </c>
      <c r="Q773" s="1528" t="s">
        <v>2129</v>
      </c>
      <c r="R773" s="1528" t="s">
        <v>2129</v>
      </c>
      <c r="S773" s="1410" t="s">
        <v>2130</v>
      </c>
      <c r="T773" s="1528"/>
      <c r="U773" s="1528"/>
      <c r="V773" s="1528">
        <v>9.2017000000000007</v>
      </c>
      <c r="W773" s="1528">
        <v>12.201700000000001</v>
      </c>
      <c r="X773" s="1528" t="s">
        <v>2131</v>
      </c>
      <c r="Y773" s="1528" t="s">
        <v>2132</v>
      </c>
      <c r="Z773" s="1528" t="s">
        <v>2132</v>
      </c>
      <c r="AA773" s="1528"/>
      <c r="AB773" s="1528"/>
      <c r="AC773" s="1528"/>
      <c r="AD773" s="1528" t="s">
        <v>2133</v>
      </c>
      <c r="AE773" s="1528"/>
      <c r="AF773" s="1528"/>
      <c r="AG773" s="1528"/>
    </row>
    <row r="774" spans="1:33" ht="93" hidden="1" thickBot="1">
      <c r="A774" s="1530"/>
      <c r="B774" s="1532"/>
      <c r="C774" s="1530"/>
      <c r="D774" s="1529"/>
      <c r="E774" s="1529"/>
      <c r="F774" s="1529"/>
      <c r="G774" s="1529"/>
      <c r="H774" s="1529"/>
      <c r="I774" s="1529"/>
      <c r="J774" s="1529"/>
      <c r="K774" s="1529"/>
      <c r="L774" s="1529"/>
      <c r="M774" s="1529"/>
      <c r="N774" s="1529"/>
      <c r="O774" s="1529"/>
      <c r="P774" s="1529"/>
      <c r="Q774" s="1529"/>
      <c r="R774" s="1529"/>
      <c r="S774" s="1409" t="s">
        <v>2199</v>
      </c>
      <c r="T774" s="1529"/>
      <c r="U774" s="1529"/>
      <c r="V774" s="1529"/>
      <c r="W774" s="1529"/>
      <c r="X774" s="1529"/>
      <c r="Y774" s="1529"/>
      <c r="Z774" s="1529"/>
      <c r="AA774" s="1529"/>
      <c r="AB774" s="1529"/>
      <c r="AC774" s="1529"/>
      <c r="AD774" s="1529"/>
      <c r="AE774" s="1529"/>
      <c r="AF774" s="1529"/>
      <c r="AG774" s="1529"/>
    </row>
    <row r="775" spans="1:33" ht="15.75" hidden="1" thickBot="1">
      <c r="A775" s="1529"/>
      <c r="B775" s="1533"/>
      <c r="C775" s="1529"/>
      <c r="D775" s="1409" t="s">
        <v>2784</v>
      </c>
      <c r="E775" s="1409" t="s">
        <v>2129</v>
      </c>
      <c r="F775" s="1409" t="s">
        <v>2129</v>
      </c>
      <c r="G775" s="1409" t="s">
        <v>2129</v>
      </c>
      <c r="H775" s="1409" t="s">
        <v>2129</v>
      </c>
      <c r="I775" s="1409" t="s">
        <v>2129</v>
      </c>
      <c r="J775" s="1409" t="s">
        <v>2129</v>
      </c>
      <c r="K775" s="1409" t="s">
        <v>2129</v>
      </c>
      <c r="L775" s="1409" t="s">
        <v>2152</v>
      </c>
      <c r="M775" s="1409">
        <v>113</v>
      </c>
      <c r="N775" s="1409">
        <v>61</v>
      </c>
      <c r="O775" s="1409">
        <v>61</v>
      </c>
      <c r="P775" s="1409"/>
      <c r="Q775" s="1409"/>
      <c r="R775" s="1409"/>
      <c r="S775" s="1409" t="s">
        <v>2129</v>
      </c>
      <c r="T775" s="1409" t="s">
        <v>2129</v>
      </c>
      <c r="U775" s="1409" t="s">
        <v>2129</v>
      </c>
      <c r="V775" s="1409" t="s">
        <v>2129</v>
      </c>
      <c r="W775" s="1409" t="s">
        <v>2129</v>
      </c>
      <c r="X775" s="1409" t="s">
        <v>2129</v>
      </c>
      <c r="Y775" s="1409" t="s">
        <v>2129</v>
      </c>
      <c r="Z775" s="1409" t="s">
        <v>2129</v>
      </c>
      <c r="AA775" s="1409" t="s">
        <v>2129</v>
      </c>
      <c r="AB775" s="1409" t="s">
        <v>2129</v>
      </c>
      <c r="AC775" s="1409" t="s">
        <v>2129</v>
      </c>
      <c r="AD775" s="1409" t="s">
        <v>2129</v>
      </c>
      <c r="AE775" s="1409" t="s">
        <v>2129</v>
      </c>
      <c r="AF775" s="1409" t="s">
        <v>2129</v>
      </c>
      <c r="AG775" s="1409" t="s">
        <v>2129</v>
      </c>
    </row>
    <row r="776" spans="1:33" ht="51.75" hidden="1" thickBot="1">
      <c r="A776" s="1528">
        <v>95</v>
      </c>
      <c r="B776" s="1531">
        <v>1.7224300000000002E+35</v>
      </c>
      <c r="C776" s="1528" t="s">
        <v>2427</v>
      </c>
      <c r="D776" s="1528" t="s">
        <v>2785</v>
      </c>
      <c r="E776" s="1528">
        <v>402000</v>
      </c>
      <c r="F776" s="1528"/>
      <c r="G776" s="1528">
        <v>402000</v>
      </c>
      <c r="H776" s="1528">
        <v>402000</v>
      </c>
      <c r="I776" s="1528">
        <v>0</v>
      </c>
      <c r="J776" s="1528">
        <v>0</v>
      </c>
      <c r="K776" s="1528">
        <v>0</v>
      </c>
      <c r="L776" s="1528" t="s">
        <v>2129</v>
      </c>
      <c r="M776" s="1528" t="s">
        <v>2129</v>
      </c>
      <c r="N776" s="1528" t="s">
        <v>2129</v>
      </c>
      <c r="O776" s="1528" t="s">
        <v>2129</v>
      </c>
      <c r="P776" s="1528" t="s">
        <v>2129</v>
      </c>
      <c r="Q776" s="1528" t="s">
        <v>2129</v>
      </c>
      <c r="R776" s="1528" t="s">
        <v>2129</v>
      </c>
      <c r="S776" s="1410" t="s">
        <v>2130</v>
      </c>
      <c r="T776" s="1528"/>
      <c r="U776" s="1528"/>
      <c r="V776" s="1528">
        <v>1.2017</v>
      </c>
      <c r="W776" s="1528">
        <v>6.2016999999999998</v>
      </c>
      <c r="X776" s="1528" t="s">
        <v>2786</v>
      </c>
      <c r="Y776" s="1528" t="s">
        <v>2132</v>
      </c>
      <c r="Z776" s="1528" t="s">
        <v>2132</v>
      </c>
      <c r="AA776" s="1528"/>
      <c r="AB776" s="1528"/>
      <c r="AC776" s="1528"/>
      <c r="AD776" s="1528" t="s">
        <v>2133</v>
      </c>
      <c r="AE776" s="1528"/>
      <c r="AF776" s="1528"/>
      <c r="AG776" s="1528"/>
    </row>
    <row r="777" spans="1:33" ht="84.75" hidden="1" thickBot="1">
      <c r="A777" s="1530"/>
      <c r="B777" s="1532"/>
      <c r="C777" s="1530"/>
      <c r="D777" s="1529"/>
      <c r="E777" s="1529"/>
      <c r="F777" s="1529"/>
      <c r="G777" s="1529"/>
      <c r="H777" s="1529"/>
      <c r="I777" s="1529"/>
      <c r="J777" s="1529"/>
      <c r="K777" s="1529"/>
      <c r="L777" s="1529"/>
      <c r="M777" s="1529"/>
      <c r="N777" s="1529"/>
      <c r="O777" s="1529"/>
      <c r="P777" s="1529"/>
      <c r="Q777" s="1529"/>
      <c r="R777" s="1529"/>
      <c r="S777" s="1409" t="s">
        <v>2787</v>
      </c>
      <c r="T777" s="1529"/>
      <c r="U777" s="1529"/>
      <c r="V777" s="1529"/>
      <c r="W777" s="1529"/>
      <c r="X777" s="1529"/>
      <c r="Y777" s="1529"/>
      <c r="Z777" s="1529"/>
      <c r="AA777" s="1529"/>
      <c r="AB777" s="1529"/>
      <c r="AC777" s="1529"/>
      <c r="AD777" s="1529"/>
      <c r="AE777" s="1529"/>
      <c r="AF777" s="1529"/>
      <c r="AG777" s="1529"/>
    </row>
    <row r="778" spans="1:33" ht="18.75" hidden="1" thickBot="1">
      <c r="A778" s="1529"/>
      <c r="B778" s="1533"/>
      <c r="C778" s="1529"/>
      <c r="D778" s="1409" t="s">
        <v>2427</v>
      </c>
      <c r="E778" s="1409" t="s">
        <v>2129</v>
      </c>
      <c r="F778" s="1409" t="s">
        <v>2129</v>
      </c>
      <c r="G778" s="1409" t="s">
        <v>2129</v>
      </c>
      <c r="H778" s="1409" t="s">
        <v>2129</v>
      </c>
      <c r="I778" s="1409" t="s">
        <v>2129</v>
      </c>
      <c r="J778" s="1409" t="s">
        <v>2129</v>
      </c>
      <c r="K778" s="1409" t="s">
        <v>2129</v>
      </c>
      <c r="L778" s="1409" t="s">
        <v>2339</v>
      </c>
      <c r="M778" s="1409">
        <v>112</v>
      </c>
      <c r="N778" s="1409">
        <v>12000</v>
      </c>
      <c r="O778" s="1409">
        <v>12000</v>
      </c>
      <c r="P778" s="1409"/>
      <c r="Q778" s="1409"/>
      <c r="R778" s="1409"/>
      <c r="S778" s="1409" t="s">
        <v>2129</v>
      </c>
      <c r="T778" s="1409" t="s">
        <v>2129</v>
      </c>
      <c r="U778" s="1409" t="s">
        <v>2129</v>
      </c>
      <c r="V778" s="1409" t="s">
        <v>2129</v>
      </c>
      <c r="W778" s="1409" t="s">
        <v>2129</v>
      </c>
      <c r="X778" s="1409" t="s">
        <v>2129</v>
      </c>
      <c r="Y778" s="1409" t="s">
        <v>2129</v>
      </c>
      <c r="Z778" s="1409" t="s">
        <v>2129</v>
      </c>
      <c r="AA778" s="1409" t="s">
        <v>2129</v>
      </c>
      <c r="AB778" s="1409" t="s">
        <v>2129</v>
      </c>
      <c r="AC778" s="1409" t="s">
        <v>2129</v>
      </c>
      <c r="AD778" s="1409" t="s">
        <v>2129</v>
      </c>
      <c r="AE778" s="1409" t="s">
        <v>2129</v>
      </c>
      <c r="AF778" s="1409" t="s">
        <v>2129</v>
      </c>
      <c r="AG778" s="1409" t="s">
        <v>2129</v>
      </c>
    </row>
    <row r="779" spans="1:33" ht="25.5" hidden="1" customHeight="1">
      <c r="A779" s="1528">
        <v>96</v>
      </c>
      <c r="B779" s="1531">
        <v>1.7224300000000002E+35</v>
      </c>
      <c r="C779" s="1528" t="s">
        <v>2427</v>
      </c>
      <c r="D779" s="1528" t="s">
        <v>2788</v>
      </c>
      <c r="E779" s="1528">
        <v>328500</v>
      </c>
      <c r="F779" s="1528"/>
      <c r="G779" s="1528">
        <v>328500</v>
      </c>
      <c r="H779" s="1528">
        <v>328500</v>
      </c>
      <c r="I779" s="1528">
        <v>0</v>
      </c>
      <c r="J779" s="1528">
        <v>0</v>
      </c>
      <c r="K779" s="1528">
        <v>0</v>
      </c>
      <c r="L779" s="1528" t="s">
        <v>2129</v>
      </c>
      <c r="M779" s="1528" t="s">
        <v>2129</v>
      </c>
      <c r="N779" s="1528" t="s">
        <v>2129</v>
      </c>
      <c r="O779" s="1528" t="s">
        <v>2129</v>
      </c>
      <c r="P779" s="1528" t="s">
        <v>2129</v>
      </c>
      <c r="Q779" s="1528" t="s">
        <v>2129</v>
      </c>
      <c r="R779" s="1528" t="s">
        <v>2129</v>
      </c>
      <c r="S779" s="1410" t="s">
        <v>2169</v>
      </c>
      <c r="T779" s="1528"/>
      <c r="U779" s="1528"/>
      <c r="V779" s="1528">
        <v>7.2016999999999998</v>
      </c>
      <c r="W779" s="1528">
        <v>12.201700000000001</v>
      </c>
      <c r="X779" s="1528" t="s">
        <v>2131</v>
      </c>
      <c r="Y779" s="1528" t="s">
        <v>2132</v>
      </c>
      <c r="Z779" s="1528" t="s">
        <v>2132</v>
      </c>
      <c r="AA779" s="1528"/>
      <c r="AB779" s="1528"/>
      <c r="AC779" s="1528"/>
      <c r="AD779" s="1528" t="s">
        <v>2133</v>
      </c>
      <c r="AE779" s="1528"/>
      <c r="AF779" s="1528"/>
      <c r="AG779" s="1528"/>
    </row>
    <row r="780" spans="1:33" ht="84.75" hidden="1" thickBot="1">
      <c r="A780" s="1530"/>
      <c r="B780" s="1532"/>
      <c r="C780" s="1530"/>
      <c r="D780" s="1529"/>
      <c r="E780" s="1529"/>
      <c r="F780" s="1529"/>
      <c r="G780" s="1529"/>
      <c r="H780" s="1529"/>
      <c r="I780" s="1529"/>
      <c r="J780" s="1529"/>
      <c r="K780" s="1529"/>
      <c r="L780" s="1529"/>
      <c r="M780" s="1529"/>
      <c r="N780" s="1529"/>
      <c r="O780" s="1529"/>
      <c r="P780" s="1529"/>
      <c r="Q780" s="1529"/>
      <c r="R780" s="1529"/>
      <c r="S780" s="1409" t="s">
        <v>2239</v>
      </c>
      <c r="T780" s="1529"/>
      <c r="U780" s="1529"/>
      <c r="V780" s="1529"/>
      <c r="W780" s="1529"/>
      <c r="X780" s="1529"/>
      <c r="Y780" s="1529"/>
      <c r="Z780" s="1529"/>
      <c r="AA780" s="1529"/>
      <c r="AB780" s="1529"/>
      <c r="AC780" s="1529"/>
      <c r="AD780" s="1529"/>
      <c r="AE780" s="1529"/>
      <c r="AF780" s="1529"/>
      <c r="AG780" s="1529"/>
    </row>
    <row r="781" spans="1:33" ht="15.75" hidden="1" thickBot="1">
      <c r="A781" s="1530"/>
      <c r="B781" s="1532"/>
      <c r="C781" s="1530"/>
      <c r="D781" s="1410" t="s">
        <v>2789</v>
      </c>
      <c r="E781" s="1528" t="s">
        <v>2129</v>
      </c>
      <c r="F781" s="1528" t="s">
        <v>2129</v>
      </c>
      <c r="G781" s="1528" t="s">
        <v>2129</v>
      </c>
      <c r="H781" s="1528" t="s">
        <v>2129</v>
      </c>
      <c r="I781" s="1528" t="s">
        <v>2129</v>
      </c>
      <c r="J781" s="1528" t="s">
        <v>2129</v>
      </c>
      <c r="K781" s="1528" t="s">
        <v>2129</v>
      </c>
      <c r="L781" s="1528" t="s">
        <v>2339</v>
      </c>
      <c r="M781" s="1528">
        <v>112</v>
      </c>
      <c r="N781" s="1528">
        <v>9000</v>
      </c>
      <c r="O781" s="1528">
        <v>9000</v>
      </c>
      <c r="P781" s="1528"/>
      <c r="Q781" s="1528"/>
      <c r="R781" s="1528"/>
      <c r="S781" s="1528" t="s">
        <v>2129</v>
      </c>
      <c r="T781" s="1528" t="s">
        <v>2129</v>
      </c>
      <c r="U781" s="1528" t="s">
        <v>2129</v>
      </c>
      <c r="V781" s="1528" t="s">
        <v>2129</v>
      </c>
      <c r="W781" s="1528" t="s">
        <v>2129</v>
      </c>
      <c r="X781" s="1528" t="s">
        <v>2129</v>
      </c>
      <c r="Y781" s="1528" t="s">
        <v>2129</v>
      </c>
      <c r="Z781" s="1528" t="s">
        <v>2129</v>
      </c>
      <c r="AA781" s="1528" t="s">
        <v>2129</v>
      </c>
      <c r="AB781" s="1528" t="s">
        <v>2129</v>
      </c>
      <c r="AC781" s="1528" t="s">
        <v>2129</v>
      </c>
      <c r="AD781" s="1528" t="s">
        <v>2129</v>
      </c>
      <c r="AE781" s="1528" t="s">
        <v>2129</v>
      </c>
      <c r="AF781" s="1528" t="s">
        <v>2129</v>
      </c>
      <c r="AG781" s="1528" t="s">
        <v>2129</v>
      </c>
    </row>
    <row r="782" spans="1:33" ht="60" hidden="1" thickBot="1">
      <c r="A782" s="1529"/>
      <c r="B782" s="1533"/>
      <c r="C782" s="1529"/>
      <c r="D782" s="1409" t="s">
        <v>2428</v>
      </c>
      <c r="E782" s="1529"/>
      <c r="F782" s="1529"/>
      <c r="G782" s="1529"/>
      <c r="H782" s="1529"/>
      <c r="I782" s="1529"/>
      <c r="J782" s="1529"/>
      <c r="K782" s="1529"/>
      <c r="L782" s="1529"/>
      <c r="M782" s="1529"/>
      <c r="N782" s="1529"/>
      <c r="O782" s="1529"/>
      <c r="P782" s="1529"/>
      <c r="Q782" s="1529"/>
      <c r="R782" s="1529"/>
      <c r="S782" s="1529"/>
      <c r="T782" s="1529"/>
      <c r="U782" s="1529"/>
      <c r="V782" s="1529"/>
      <c r="W782" s="1529"/>
      <c r="X782" s="1529"/>
      <c r="Y782" s="1529"/>
      <c r="Z782" s="1529"/>
      <c r="AA782" s="1529"/>
      <c r="AB782" s="1529"/>
      <c r="AC782" s="1529"/>
      <c r="AD782" s="1529"/>
      <c r="AE782" s="1529"/>
      <c r="AF782" s="1529"/>
      <c r="AG782" s="1529"/>
    </row>
    <row r="783" spans="1:33" ht="25.5" hidden="1" customHeight="1">
      <c r="A783" s="1528">
        <v>97</v>
      </c>
      <c r="B783" s="1531">
        <v>1.7224300000000002E+35</v>
      </c>
      <c r="C783" s="1528" t="s">
        <v>2790</v>
      </c>
      <c r="D783" s="1528" t="s">
        <v>2791</v>
      </c>
      <c r="E783" s="1528">
        <v>22200</v>
      </c>
      <c r="F783" s="1528"/>
      <c r="G783" s="1528">
        <v>22200</v>
      </c>
      <c r="H783" s="1528">
        <v>22200</v>
      </c>
      <c r="I783" s="1528">
        <v>0</v>
      </c>
      <c r="J783" s="1528">
        <v>0</v>
      </c>
      <c r="K783" s="1528">
        <v>0</v>
      </c>
      <c r="L783" s="1528" t="s">
        <v>2129</v>
      </c>
      <c r="M783" s="1528" t="s">
        <v>2129</v>
      </c>
      <c r="N783" s="1528" t="s">
        <v>2129</v>
      </c>
      <c r="O783" s="1528" t="s">
        <v>2129</v>
      </c>
      <c r="P783" s="1528" t="s">
        <v>2129</v>
      </c>
      <c r="Q783" s="1528" t="s">
        <v>2129</v>
      </c>
      <c r="R783" s="1528" t="s">
        <v>2129</v>
      </c>
      <c r="S783" s="1410" t="s">
        <v>2130</v>
      </c>
      <c r="T783" s="1528"/>
      <c r="U783" s="1528"/>
      <c r="V783" s="1528">
        <v>3.2017000000000002</v>
      </c>
      <c r="W783" s="1528">
        <v>6.2016999999999998</v>
      </c>
      <c r="X783" s="1528" t="s">
        <v>2131</v>
      </c>
      <c r="Y783" s="1528" t="s">
        <v>2132</v>
      </c>
      <c r="Z783" s="1528" t="s">
        <v>2132</v>
      </c>
      <c r="AA783" s="1528"/>
      <c r="AB783" s="1528"/>
      <c r="AC783" s="1528"/>
      <c r="AD783" s="1528" t="s">
        <v>2133</v>
      </c>
      <c r="AE783" s="1528"/>
      <c r="AF783" s="1528"/>
      <c r="AG783" s="1528"/>
    </row>
    <row r="784" spans="1:33" ht="84.75" hidden="1" thickBot="1">
      <c r="A784" s="1530"/>
      <c r="B784" s="1532"/>
      <c r="C784" s="1530"/>
      <c r="D784" s="1529"/>
      <c r="E784" s="1529"/>
      <c r="F784" s="1529"/>
      <c r="G784" s="1529"/>
      <c r="H784" s="1529"/>
      <c r="I784" s="1529"/>
      <c r="J784" s="1529"/>
      <c r="K784" s="1529"/>
      <c r="L784" s="1529"/>
      <c r="M784" s="1529"/>
      <c r="N784" s="1529"/>
      <c r="O784" s="1529"/>
      <c r="P784" s="1529"/>
      <c r="Q784" s="1529"/>
      <c r="R784" s="1529"/>
      <c r="S784" s="1409" t="s">
        <v>2792</v>
      </c>
      <c r="T784" s="1529"/>
      <c r="U784" s="1529"/>
      <c r="V784" s="1529"/>
      <c r="W784" s="1529"/>
      <c r="X784" s="1529"/>
      <c r="Y784" s="1529"/>
      <c r="Z784" s="1529"/>
      <c r="AA784" s="1529"/>
      <c r="AB784" s="1529"/>
      <c r="AC784" s="1529"/>
      <c r="AD784" s="1529"/>
      <c r="AE784" s="1529"/>
      <c r="AF784" s="1529"/>
      <c r="AG784" s="1529"/>
    </row>
    <row r="785" spans="1:33" ht="18.75" hidden="1" thickBot="1">
      <c r="A785" s="1530"/>
      <c r="B785" s="1532"/>
      <c r="C785" s="1530"/>
      <c r="D785" s="1410" t="s">
        <v>2791</v>
      </c>
      <c r="E785" s="1528" t="s">
        <v>2129</v>
      </c>
      <c r="F785" s="1528" t="s">
        <v>2129</v>
      </c>
      <c r="G785" s="1528" t="s">
        <v>2129</v>
      </c>
      <c r="H785" s="1528" t="s">
        <v>2129</v>
      </c>
      <c r="I785" s="1528" t="s">
        <v>2129</v>
      </c>
      <c r="J785" s="1528" t="s">
        <v>2129</v>
      </c>
      <c r="K785" s="1528" t="s">
        <v>2129</v>
      </c>
      <c r="L785" s="1528" t="s">
        <v>2166</v>
      </c>
      <c r="M785" s="1528">
        <v>796</v>
      </c>
      <c r="N785" s="1528">
        <v>10</v>
      </c>
      <c r="O785" s="1528">
        <v>10</v>
      </c>
      <c r="P785" s="1528"/>
      <c r="Q785" s="1528"/>
      <c r="R785" s="1528"/>
      <c r="S785" s="1528" t="s">
        <v>2129</v>
      </c>
      <c r="T785" s="1528" t="s">
        <v>2129</v>
      </c>
      <c r="U785" s="1528" t="s">
        <v>2129</v>
      </c>
      <c r="V785" s="1528" t="s">
        <v>2129</v>
      </c>
      <c r="W785" s="1528" t="s">
        <v>2129</v>
      </c>
      <c r="X785" s="1528" t="s">
        <v>2129</v>
      </c>
      <c r="Y785" s="1528" t="s">
        <v>2129</v>
      </c>
      <c r="Z785" s="1528" t="s">
        <v>2129</v>
      </c>
      <c r="AA785" s="1528" t="s">
        <v>2129</v>
      </c>
      <c r="AB785" s="1528" t="s">
        <v>2129</v>
      </c>
      <c r="AC785" s="1528" t="s">
        <v>2129</v>
      </c>
      <c r="AD785" s="1528" t="s">
        <v>2129</v>
      </c>
      <c r="AE785" s="1528" t="s">
        <v>2129</v>
      </c>
      <c r="AF785" s="1528" t="s">
        <v>2129</v>
      </c>
      <c r="AG785" s="1528" t="s">
        <v>2129</v>
      </c>
    </row>
    <row r="786" spans="1:33" ht="60" hidden="1" thickBot="1">
      <c r="A786" s="1530"/>
      <c r="B786" s="1532"/>
      <c r="C786" s="1530"/>
      <c r="D786" s="1409" t="s">
        <v>2793</v>
      </c>
      <c r="E786" s="1529"/>
      <c r="F786" s="1529"/>
      <c r="G786" s="1529"/>
      <c r="H786" s="1529"/>
      <c r="I786" s="1529"/>
      <c r="J786" s="1529"/>
      <c r="K786" s="1529"/>
      <c r="L786" s="1529"/>
      <c r="M786" s="1529"/>
      <c r="N786" s="1529"/>
      <c r="O786" s="1529"/>
      <c r="P786" s="1529"/>
      <c r="Q786" s="1529"/>
      <c r="R786" s="1529"/>
      <c r="S786" s="1529"/>
      <c r="T786" s="1529"/>
      <c r="U786" s="1529"/>
      <c r="V786" s="1529"/>
      <c r="W786" s="1529"/>
      <c r="X786" s="1529"/>
      <c r="Y786" s="1529"/>
      <c r="Z786" s="1529"/>
      <c r="AA786" s="1529"/>
      <c r="AB786" s="1529"/>
      <c r="AC786" s="1529"/>
      <c r="AD786" s="1529"/>
      <c r="AE786" s="1529"/>
      <c r="AF786" s="1529"/>
      <c r="AG786" s="1529"/>
    </row>
    <row r="787" spans="1:33" ht="18.75" hidden="1" thickBot="1">
      <c r="A787" s="1529"/>
      <c r="B787" s="1533"/>
      <c r="C787" s="1529"/>
      <c r="D787" s="1409" t="s">
        <v>2794</v>
      </c>
      <c r="E787" s="1409" t="s">
        <v>2129</v>
      </c>
      <c r="F787" s="1409" t="s">
        <v>2129</v>
      </c>
      <c r="G787" s="1409" t="s">
        <v>2129</v>
      </c>
      <c r="H787" s="1409" t="s">
        <v>2129</v>
      </c>
      <c r="I787" s="1409" t="s">
        <v>2129</v>
      </c>
      <c r="J787" s="1409" t="s">
        <v>2129</v>
      </c>
      <c r="K787" s="1409" t="s">
        <v>2129</v>
      </c>
      <c r="L787" s="1409" t="s">
        <v>2166</v>
      </c>
      <c r="M787" s="1409">
        <v>796</v>
      </c>
      <c r="N787" s="1409">
        <v>1</v>
      </c>
      <c r="O787" s="1409">
        <v>1</v>
      </c>
      <c r="P787" s="1409"/>
      <c r="Q787" s="1409"/>
      <c r="R787" s="1409"/>
      <c r="S787" s="1409" t="s">
        <v>2129</v>
      </c>
      <c r="T787" s="1409" t="s">
        <v>2129</v>
      </c>
      <c r="U787" s="1409" t="s">
        <v>2129</v>
      </c>
      <c r="V787" s="1409" t="s">
        <v>2129</v>
      </c>
      <c r="W787" s="1409" t="s">
        <v>2129</v>
      </c>
      <c r="X787" s="1409" t="s">
        <v>2129</v>
      </c>
      <c r="Y787" s="1409" t="s">
        <v>2129</v>
      </c>
      <c r="Z787" s="1409" t="s">
        <v>2129</v>
      </c>
      <c r="AA787" s="1409" t="s">
        <v>2129</v>
      </c>
      <c r="AB787" s="1409" t="s">
        <v>2129</v>
      </c>
      <c r="AC787" s="1409" t="s">
        <v>2129</v>
      </c>
      <c r="AD787" s="1409" t="s">
        <v>2129</v>
      </c>
      <c r="AE787" s="1409" t="s">
        <v>2129</v>
      </c>
      <c r="AF787" s="1409" t="s">
        <v>2129</v>
      </c>
      <c r="AG787" s="1409" t="s">
        <v>2129</v>
      </c>
    </row>
    <row r="788" spans="1:33" ht="175.5" thickBot="1">
      <c r="A788" s="1528">
        <v>98</v>
      </c>
      <c r="B788" s="1531">
        <v>1.7224300000000002E+35</v>
      </c>
      <c r="C788" s="1528" t="s">
        <v>2795</v>
      </c>
      <c r="D788" s="1528" t="s">
        <v>2796</v>
      </c>
      <c r="E788" s="1528">
        <v>470040</v>
      </c>
      <c r="F788" s="1528"/>
      <c r="G788" s="1528">
        <v>470040</v>
      </c>
      <c r="H788" s="1528">
        <v>0</v>
      </c>
      <c r="I788" s="1528">
        <v>470040</v>
      </c>
      <c r="J788" s="1528">
        <v>0</v>
      </c>
      <c r="K788" s="1528">
        <v>0</v>
      </c>
      <c r="L788" s="1528" t="s">
        <v>2129</v>
      </c>
      <c r="M788" s="1528" t="s">
        <v>2129</v>
      </c>
      <c r="N788" s="1528" t="s">
        <v>2129</v>
      </c>
      <c r="O788" s="1528" t="s">
        <v>2129</v>
      </c>
      <c r="P788" s="1528" t="s">
        <v>2129</v>
      </c>
      <c r="Q788" s="1528" t="s">
        <v>2129</v>
      </c>
      <c r="R788" s="1528" t="s">
        <v>2129</v>
      </c>
      <c r="S788" s="1410" t="s">
        <v>2169</v>
      </c>
      <c r="T788" s="1528">
        <v>4700.3999999999996</v>
      </c>
      <c r="U788" s="1528">
        <v>47004</v>
      </c>
      <c r="V788" s="1528">
        <v>11.201700000000001</v>
      </c>
      <c r="W788" s="1528">
        <v>6.2018000000000004</v>
      </c>
      <c r="X788" s="1528" t="s">
        <v>2281</v>
      </c>
      <c r="Y788" s="1528" t="s">
        <v>2132</v>
      </c>
      <c r="Z788" s="1528" t="s">
        <v>2132</v>
      </c>
      <c r="AA788" s="1528"/>
      <c r="AB788" s="1528"/>
      <c r="AC788" s="1528"/>
      <c r="AD788" s="1528" t="s">
        <v>2133</v>
      </c>
      <c r="AE788" s="1410" t="s">
        <v>2645</v>
      </c>
      <c r="AF788" s="1528"/>
      <c r="AG788" s="1528" t="s">
        <v>2283</v>
      </c>
    </row>
    <row r="789" spans="1:33" ht="84.75" hidden="1" thickBot="1">
      <c r="A789" s="1530"/>
      <c r="B789" s="1532"/>
      <c r="C789" s="1530"/>
      <c r="D789" s="1529"/>
      <c r="E789" s="1529"/>
      <c r="F789" s="1529"/>
      <c r="G789" s="1529"/>
      <c r="H789" s="1529"/>
      <c r="I789" s="1529"/>
      <c r="J789" s="1529"/>
      <c r="K789" s="1529"/>
      <c r="L789" s="1529"/>
      <c r="M789" s="1529"/>
      <c r="N789" s="1529"/>
      <c r="O789" s="1529"/>
      <c r="P789" s="1529"/>
      <c r="Q789" s="1529"/>
      <c r="R789" s="1529"/>
      <c r="S789" s="1409" t="s">
        <v>2797</v>
      </c>
      <c r="T789" s="1529"/>
      <c r="U789" s="1529"/>
      <c r="V789" s="1529"/>
      <c r="W789" s="1529"/>
      <c r="X789" s="1529"/>
      <c r="Y789" s="1529"/>
      <c r="Z789" s="1529"/>
      <c r="AA789" s="1529"/>
      <c r="AB789" s="1529"/>
      <c r="AC789" s="1529"/>
      <c r="AD789" s="1529"/>
      <c r="AE789" s="1409" t="s">
        <v>2136</v>
      </c>
      <c r="AF789" s="1529"/>
      <c r="AG789" s="1529"/>
    </row>
    <row r="790" spans="1:33" ht="27" hidden="1" thickBot="1">
      <c r="A790" s="1530"/>
      <c r="B790" s="1532"/>
      <c r="C790" s="1530"/>
      <c r="D790" s="1410" t="s">
        <v>2798</v>
      </c>
      <c r="E790" s="1528" t="s">
        <v>2129</v>
      </c>
      <c r="F790" s="1528" t="s">
        <v>2129</v>
      </c>
      <c r="G790" s="1528" t="s">
        <v>2129</v>
      </c>
      <c r="H790" s="1528" t="s">
        <v>2129</v>
      </c>
      <c r="I790" s="1528" t="s">
        <v>2129</v>
      </c>
      <c r="J790" s="1528" t="s">
        <v>2129</v>
      </c>
      <c r="K790" s="1528" t="s">
        <v>2129</v>
      </c>
      <c r="L790" s="1528" t="s">
        <v>2339</v>
      </c>
      <c r="M790" s="1528">
        <v>112</v>
      </c>
      <c r="N790" s="1528">
        <v>12000</v>
      </c>
      <c r="O790" s="1528"/>
      <c r="P790" s="1528">
        <v>12000</v>
      </c>
      <c r="Q790" s="1528"/>
      <c r="R790" s="1528"/>
      <c r="S790" s="1528" t="s">
        <v>2129</v>
      </c>
      <c r="T790" s="1528" t="s">
        <v>2129</v>
      </c>
      <c r="U790" s="1528" t="s">
        <v>2129</v>
      </c>
      <c r="V790" s="1528" t="s">
        <v>2129</v>
      </c>
      <c r="W790" s="1528" t="s">
        <v>2129</v>
      </c>
      <c r="X790" s="1528" t="s">
        <v>2129</v>
      </c>
      <c r="Y790" s="1528" t="s">
        <v>2129</v>
      </c>
      <c r="Z790" s="1528" t="s">
        <v>2129</v>
      </c>
      <c r="AA790" s="1528" t="s">
        <v>2129</v>
      </c>
      <c r="AB790" s="1528" t="s">
        <v>2129</v>
      </c>
      <c r="AC790" s="1528" t="s">
        <v>2129</v>
      </c>
      <c r="AD790" s="1528" t="s">
        <v>2129</v>
      </c>
      <c r="AE790" s="1528" t="s">
        <v>2129</v>
      </c>
      <c r="AF790" s="1528" t="s">
        <v>2129</v>
      </c>
      <c r="AG790" s="1528" t="s">
        <v>2129</v>
      </c>
    </row>
    <row r="791" spans="1:33" ht="117.75" hidden="1" thickBot="1">
      <c r="A791" s="1529"/>
      <c r="B791" s="1533"/>
      <c r="C791" s="1529"/>
      <c r="D791" s="1409" t="s">
        <v>2799</v>
      </c>
      <c r="E791" s="1529"/>
      <c r="F791" s="1529"/>
      <c r="G791" s="1529"/>
      <c r="H791" s="1529"/>
      <c r="I791" s="1529"/>
      <c r="J791" s="1529"/>
      <c r="K791" s="1529"/>
      <c r="L791" s="1529"/>
      <c r="M791" s="1529"/>
      <c r="N791" s="1529"/>
      <c r="O791" s="1529"/>
      <c r="P791" s="1529"/>
      <c r="Q791" s="1529"/>
      <c r="R791" s="1529"/>
      <c r="S791" s="1529"/>
      <c r="T791" s="1529"/>
      <c r="U791" s="1529"/>
      <c r="V791" s="1529"/>
      <c r="W791" s="1529"/>
      <c r="X791" s="1529"/>
      <c r="Y791" s="1529"/>
      <c r="Z791" s="1529"/>
      <c r="AA791" s="1529"/>
      <c r="AB791" s="1529"/>
      <c r="AC791" s="1529"/>
      <c r="AD791" s="1529"/>
      <c r="AE791" s="1529"/>
      <c r="AF791" s="1529"/>
      <c r="AG791" s="1529"/>
    </row>
    <row r="792" spans="1:33" ht="25.5" hidden="1" customHeight="1">
      <c r="A792" s="1528">
        <v>99</v>
      </c>
      <c r="B792" s="1531">
        <v>1.7224300000000002E+35</v>
      </c>
      <c r="C792" s="1528" t="s">
        <v>2800</v>
      </c>
      <c r="D792" s="1528" t="s">
        <v>2801</v>
      </c>
      <c r="E792" s="1528">
        <v>97600</v>
      </c>
      <c r="F792" s="1528"/>
      <c r="G792" s="1528">
        <v>97600</v>
      </c>
      <c r="H792" s="1528">
        <v>97600</v>
      </c>
      <c r="I792" s="1528">
        <v>0</v>
      </c>
      <c r="J792" s="1528">
        <v>0</v>
      </c>
      <c r="K792" s="1528">
        <v>0</v>
      </c>
      <c r="L792" s="1528" t="s">
        <v>2129</v>
      </c>
      <c r="M792" s="1528" t="s">
        <v>2129</v>
      </c>
      <c r="N792" s="1528" t="s">
        <v>2129</v>
      </c>
      <c r="O792" s="1528" t="s">
        <v>2129</v>
      </c>
      <c r="P792" s="1528" t="s">
        <v>2129</v>
      </c>
      <c r="Q792" s="1528" t="s">
        <v>2129</v>
      </c>
      <c r="R792" s="1528" t="s">
        <v>2129</v>
      </c>
      <c r="S792" s="1410" t="s">
        <v>2169</v>
      </c>
      <c r="T792" s="1528"/>
      <c r="U792" s="1528"/>
      <c r="V792" s="1528">
        <v>1.2017</v>
      </c>
      <c r="W792" s="1528">
        <v>12.201700000000001</v>
      </c>
      <c r="X792" s="1528" t="s">
        <v>2131</v>
      </c>
      <c r="Y792" s="1528" t="s">
        <v>2132</v>
      </c>
      <c r="Z792" s="1528" t="s">
        <v>2132</v>
      </c>
      <c r="AA792" s="1528"/>
      <c r="AB792" s="1528"/>
      <c r="AC792" s="1528"/>
      <c r="AD792" s="1528" t="s">
        <v>2133</v>
      </c>
      <c r="AE792" s="1528"/>
      <c r="AF792" s="1528"/>
      <c r="AG792" s="1528"/>
    </row>
    <row r="793" spans="1:33" ht="84.75" hidden="1" thickBot="1">
      <c r="A793" s="1530"/>
      <c r="B793" s="1532"/>
      <c r="C793" s="1530"/>
      <c r="D793" s="1529"/>
      <c r="E793" s="1529"/>
      <c r="F793" s="1529"/>
      <c r="G793" s="1529"/>
      <c r="H793" s="1529"/>
      <c r="I793" s="1529"/>
      <c r="J793" s="1529"/>
      <c r="K793" s="1529"/>
      <c r="L793" s="1529"/>
      <c r="M793" s="1529"/>
      <c r="N793" s="1529"/>
      <c r="O793" s="1529"/>
      <c r="P793" s="1529"/>
      <c r="Q793" s="1529"/>
      <c r="R793" s="1529"/>
      <c r="S793" s="1409" t="s">
        <v>2239</v>
      </c>
      <c r="T793" s="1529"/>
      <c r="U793" s="1529"/>
      <c r="V793" s="1529"/>
      <c r="W793" s="1529"/>
      <c r="X793" s="1529"/>
      <c r="Y793" s="1529"/>
      <c r="Z793" s="1529"/>
      <c r="AA793" s="1529"/>
      <c r="AB793" s="1529"/>
      <c r="AC793" s="1529"/>
      <c r="AD793" s="1529"/>
      <c r="AE793" s="1529"/>
      <c r="AF793" s="1529"/>
      <c r="AG793" s="1529"/>
    </row>
    <row r="794" spans="1:33" ht="18.75" hidden="1" thickBot="1">
      <c r="A794" s="1529"/>
      <c r="B794" s="1533"/>
      <c r="C794" s="1529"/>
      <c r="D794" s="1409" t="s">
        <v>2801</v>
      </c>
      <c r="E794" s="1409" t="s">
        <v>2129</v>
      </c>
      <c r="F794" s="1409" t="s">
        <v>2129</v>
      </c>
      <c r="G794" s="1409" t="s">
        <v>2129</v>
      </c>
      <c r="H794" s="1409" t="s">
        <v>2129</v>
      </c>
      <c r="I794" s="1409" t="s">
        <v>2129</v>
      </c>
      <c r="J794" s="1409" t="s">
        <v>2129</v>
      </c>
      <c r="K794" s="1409" t="s">
        <v>2129</v>
      </c>
      <c r="L794" s="1409" t="s">
        <v>2339</v>
      </c>
      <c r="M794" s="1409">
        <v>112</v>
      </c>
      <c r="N794" s="1409">
        <v>630</v>
      </c>
      <c r="O794" s="1409">
        <v>630</v>
      </c>
      <c r="P794" s="1409"/>
      <c r="Q794" s="1409"/>
      <c r="R794" s="1409"/>
      <c r="S794" s="1409" t="s">
        <v>2129</v>
      </c>
      <c r="T794" s="1409" t="s">
        <v>2129</v>
      </c>
      <c r="U794" s="1409" t="s">
        <v>2129</v>
      </c>
      <c r="V794" s="1409" t="s">
        <v>2129</v>
      </c>
      <c r="W794" s="1409" t="s">
        <v>2129</v>
      </c>
      <c r="X794" s="1409" t="s">
        <v>2129</v>
      </c>
      <c r="Y794" s="1409" t="s">
        <v>2129</v>
      </c>
      <c r="Z794" s="1409" t="s">
        <v>2129</v>
      </c>
      <c r="AA794" s="1409" t="s">
        <v>2129</v>
      </c>
      <c r="AB794" s="1409" t="s">
        <v>2129</v>
      </c>
      <c r="AC794" s="1409" t="s">
        <v>2129</v>
      </c>
      <c r="AD794" s="1409" t="s">
        <v>2129</v>
      </c>
      <c r="AE794" s="1409" t="s">
        <v>2129</v>
      </c>
      <c r="AF794" s="1409" t="s">
        <v>2129</v>
      </c>
      <c r="AG794" s="1409" t="s">
        <v>2129</v>
      </c>
    </row>
    <row r="795" spans="1:33" ht="25.5" hidden="1" customHeight="1">
      <c r="A795" s="1528">
        <v>100</v>
      </c>
      <c r="B795" s="1531">
        <v>1.7224300000000002E+35</v>
      </c>
      <c r="C795" s="1528" t="s">
        <v>1445</v>
      </c>
      <c r="D795" s="1528" t="s">
        <v>2802</v>
      </c>
      <c r="E795" s="1528">
        <v>76604</v>
      </c>
      <c r="F795" s="1528"/>
      <c r="G795" s="1528">
        <v>76604</v>
      </c>
      <c r="H795" s="1528">
        <v>76604</v>
      </c>
      <c r="I795" s="1528">
        <v>0</v>
      </c>
      <c r="J795" s="1528">
        <v>0</v>
      </c>
      <c r="K795" s="1528">
        <v>0</v>
      </c>
      <c r="L795" s="1528" t="s">
        <v>2129</v>
      </c>
      <c r="M795" s="1528" t="s">
        <v>2129</v>
      </c>
      <c r="N795" s="1528" t="s">
        <v>2129</v>
      </c>
      <c r="O795" s="1528" t="s">
        <v>2129</v>
      </c>
      <c r="P795" s="1528" t="s">
        <v>2129</v>
      </c>
      <c r="Q795" s="1528" t="s">
        <v>2129</v>
      </c>
      <c r="R795" s="1528" t="s">
        <v>2129</v>
      </c>
      <c r="S795" s="1410" t="s">
        <v>2163</v>
      </c>
      <c r="T795" s="1528"/>
      <c r="U795" s="1528"/>
      <c r="V795" s="1528">
        <v>6.2016999999999998</v>
      </c>
      <c r="W795" s="1528">
        <v>12.201700000000001</v>
      </c>
      <c r="X795" s="1528" t="s">
        <v>2131</v>
      </c>
      <c r="Y795" s="1528" t="s">
        <v>2132</v>
      </c>
      <c r="Z795" s="1528" t="s">
        <v>2132</v>
      </c>
      <c r="AA795" s="1528"/>
      <c r="AB795" s="1528"/>
      <c r="AC795" s="1528"/>
      <c r="AD795" s="1528" t="s">
        <v>2133</v>
      </c>
      <c r="AE795" s="1528"/>
      <c r="AF795" s="1528"/>
      <c r="AG795" s="1528"/>
    </row>
    <row r="796" spans="1:33" ht="93" hidden="1" thickBot="1">
      <c r="A796" s="1530"/>
      <c r="B796" s="1532"/>
      <c r="C796" s="1530"/>
      <c r="D796" s="1529"/>
      <c r="E796" s="1529"/>
      <c r="F796" s="1529"/>
      <c r="G796" s="1529"/>
      <c r="H796" s="1529"/>
      <c r="I796" s="1529"/>
      <c r="J796" s="1529"/>
      <c r="K796" s="1529"/>
      <c r="L796" s="1529"/>
      <c r="M796" s="1529"/>
      <c r="N796" s="1529"/>
      <c r="O796" s="1529"/>
      <c r="P796" s="1529"/>
      <c r="Q796" s="1529"/>
      <c r="R796" s="1529"/>
      <c r="S796" s="1409" t="s">
        <v>2803</v>
      </c>
      <c r="T796" s="1529"/>
      <c r="U796" s="1529"/>
      <c r="V796" s="1529"/>
      <c r="W796" s="1529"/>
      <c r="X796" s="1529"/>
      <c r="Y796" s="1529"/>
      <c r="Z796" s="1529"/>
      <c r="AA796" s="1529"/>
      <c r="AB796" s="1529"/>
      <c r="AC796" s="1529"/>
      <c r="AD796" s="1529"/>
      <c r="AE796" s="1529"/>
      <c r="AF796" s="1529"/>
      <c r="AG796" s="1529"/>
    </row>
    <row r="797" spans="1:33" ht="18.75" hidden="1" thickBot="1">
      <c r="A797" s="1529"/>
      <c r="B797" s="1533"/>
      <c r="C797" s="1529"/>
      <c r="D797" s="1409" t="s">
        <v>2802</v>
      </c>
      <c r="E797" s="1409" t="s">
        <v>2129</v>
      </c>
      <c r="F797" s="1409" t="s">
        <v>2129</v>
      </c>
      <c r="G797" s="1409" t="s">
        <v>2129</v>
      </c>
      <c r="H797" s="1409" t="s">
        <v>2129</v>
      </c>
      <c r="I797" s="1409" t="s">
        <v>2129</v>
      </c>
      <c r="J797" s="1409" t="s">
        <v>2129</v>
      </c>
      <c r="K797" s="1409" t="s">
        <v>2129</v>
      </c>
      <c r="L797" s="1409" t="s">
        <v>2166</v>
      </c>
      <c r="M797" s="1409">
        <v>796</v>
      </c>
      <c r="N797" s="1409">
        <v>1</v>
      </c>
      <c r="O797" s="1409">
        <v>1</v>
      </c>
      <c r="P797" s="1409"/>
      <c r="Q797" s="1409"/>
      <c r="R797" s="1409"/>
      <c r="S797" s="1409" t="s">
        <v>2129</v>
      </c>
      <c r="T797" s="1409" t="s">
        <v>2129</v>
      </c>
      <c r="U797" s="1409" t="s">
        <v>2129</v>
      </c>
      <c r="V797" s="1409" t="s">
        <v>2129</v>
      </c>
      <c r="W797" s="1409" t="s">
        <v>2129</v>
      </c>
      <c r="X797" s="1409" t="s">
        <v>2129</v>
      </c>
      <c r="Y797" s="1409" t="s">
        <v>2129</v>
      </c>
      <c r="Z797" s="1409" t="s">
        <v>2129</v>
      </c>
      <c r="AA797" s="1409" t="s">
        <v>2129</v>
      </c>
      <c r="AB797" s="1409" t="s">
        <v>2129</v>
      </c>
      <c r="AC797" s="1409" t="s">
        <v>2129</v>
      </c>
      <c r="AD797" s="1409" t="s">
        <v>2129</v>
      </c>
      <c r="AE797" s="1409" t="s">
        <v>2129</v>
      </c>
      <c r="AF797" s="1409" t="s">
        <v>2129</v>
      </c>
      <c r="AG797" s="1409" t="s">
        <v>2129</v>
      </c>
    </row>
    <row r="798" spans="1:33" ht="25.5" hidden="1" customHeight="1">
      <c r="A798" s="1528">
        <v>101</v>
      </c>
      <c r="B798" s="1531">
        <v>1.7224300000000002E+35</v>
      </c>
      <c r="C798" s="1528" t="s">
        <v>2804</v>
      </c>
      <c r="D798" s="1528" t="s">
        <v>2805</v>
      </c>
      <c r="E798" s="1528" t="s">
        <v>2806</v>
      </c>
      <c r="F798" s="1528"/>
      <c r="G798" s="1528">
        <v>71750.100000000006</v>
      </c>
      <c r="H798" s="1528">
        <v>71750.100000000006</v>
      </c>
      <c r="I798" s="1528">
        <v>0</v>
      </c>
      <c r="J798" s="1528">
        <v>0</v>
      </c>
      <c r="K798" s="1528">
        <v>0</v>
      </c>
      <c r="L798" s="1528" t="s">
        <v>2129</v>
      </c>
      <c r="M798" s="1528" t="s">
        <v>2129</v>
      </c>
      <c r="N798" s="1528" t="s">
        <v>2129</v>
      </c>
      <c r="O798" s="1528" t="s">
        <v>2129</v>
      </c>
      <c r="P798" s="1528" t="s">
        <v>2129</v>
      </c>
      <c r="Q798" s="1528" t="s">
        <v>2129</v>
      </c>
      <c r="R798" s="1528" t="s">
        <v>2129</v>
      </c>
      <c r="S798" s="1410" t="s">
        <v>2163</v>
      </c>
      <c r="T798" s="1528"/>
      <c r="U798" s="1528"/>
      <c r="V798" s="1528">
        <v>6.2016999999999998</v>
      </c>
      <c r="W798" s="1528">
        <v>12.201700000000001</v>
      </c>
      <c r="X798" s="1528" t="s">
        <v>2131</v>
      </c>
      <c r="Y798" s="1528" t="s">
        <v>2132</v>
      </c>
      <c r="Z798" s="1528" t="s">
        <v>2132</v>
      </c>
      <c r="AA798" s="1528"/>
      <c r="AB798" s="1528"/>
      <c r="AC798" s="1528"/>
      <c r="AD798" s="1528" t="s">
        <v>2133</v>
      </c>
      <c r="AE798" s="1528"/>
      <c r="AF798" s="1528"/>
      <c r="AG798" s="1528"/>
    </row>
    <row r="799" spans="1:33" ht="84.75" hidden="1" thickBot="1">
      <c r="A799" s="1530"/>
      <c r="B799" s="1532"/>
      <c r="C799" s="1530"/>
      <c r="D799" s="1529"/>
      <c r="E799" s="1529"/>
      <c r="F799" s="1529"/>
      <c r="G799" s="1529"/>
      <c r="H799" s="1529"/>
      <c r="I799" s="1529"/>
      <c r="J799" s="1529"/>
      <c r="K799" s="1529"/>
      <c r="L799" s="1529"/>
      <c r="M799" s="1529"/>
      <c r="N799" s="1529"/>
      <c r="O799" s="1529"/>
      <c r="P799" s="1529"/>
      <c r="Q799" s="1529"/>
      <c r="R799" s="1529"/>
      <c r="S799" s="1409" t="s">
        <v>2239</v>
      </c>
      <c r="T799" s="1529"/>
      <c r="U799" s="1529"/>
      <c r="V799" s="1529"/>
      <c r="W799" s="1529"/>
      <c r="X799" s="1529"/>
      <c r="Y799" s="1529"/>
      <c r="Z799" s="1529"/>
      <c r="AA799" s="1529"/>
      <c r="AB799" s="1529"/>
      <c r="AC799" s="1529"/>
      <c r="AD799" s="1529"/>
      <c r="AE799" s="1529"/>
      <c r="AF799" s="1529"/>
      <c r="AG799" s="1529"/>
    </row>
    <row r="800" spans="1:33" ht="18.75" hidden="1" thickBot="1">
      <c r="A800" s="1529"/>
      <c r="B800" s="1533"/>
      <c r="C800" s="1529"/>
      <c r="D800" s="1409" t="s">
        <v>2807</v>
      </c>
      <c r="E800" s="1409" t="s">
        <v>2129</v>
      </c>
      <c r="F800" s="1409" t="s">
        <v>2129</v>
      </c>
      <c r="G800" s="1409" t="s">
        <v>2129</v>
      </c>
      <c r="H800" s="1409" t="s">
        <v>2129</v>
      </c>
      <c r="I800" s="1409" t="s">
        <v>2129</v>
      </c>
      <c r="J800" s="1409" t="s">
        <v>2129</v>
      </c>
      <c r="K800" s="1409" t="s">
        <v>2129</v>
      </c>
      <c r="L800" s="1409" t="s">
        <v>2166</v>
      </c>
      <c r="M800" s="1409">
        <v>796</v>
      </c>
      <c r="N800" s="1409">
        <v>1</v>
      </c>
      <c r="O800" s="1409">
        <v>1</v>
      </c>
      <c r="P800" s="1409"/>
      <c r="Q800" s="1409"/>
      <c r="R800" s="1409"/>
      <c r="S800" s="1409" t="s">
        <v>2129</v>
      </c>
      <c r="T800" s="1409" t="s">
        <v>2129</v>
      </c>
      <c r="U800" s="1409" t="s">
        <v>2129</v>
      </c>
      <c r="V800" s="1409" t="s">
        <v>2129</v>
      </c>
      <c r="W800" s="1409" t="s">
        <v>2129</v>
      </c>
      <c r="X800" s="1409" t="s">
        <v>2129</v>
      </c>
      <c r="Y800" s="1409" t="s">
        <v>2129</v>
      </c>
      <c r="Z800" s="1409" t="s">
        <v>2129</v>
      </c>
      <c r="AA800" s="1409" t="s">
        <v>2129</v>
      </c>
      <c r="AB800" s="1409" t="s">
        <v>2129</v>
      </c>
      <c r="AC800" s="1409" t="s">
        <v>2129</v>
      </c>
      <c r="AD800" s="1409" t="s">
        <v>2129</v>
      </c>
      <c r="AE800" s="1409" t="s">
        <v>2129</v>
      </c>
      <c r="AF800" s="1409" t="s">
        <v>2129</v>
      </c>
      <c r="AG800" s="1409" t="s">
        <v>2129</v>
      </c>
    </row>
    <row r="801" spans="1:33" ht="25.5" hidden="1" customHeight="1">
      <c r="A801" s="1528">
        <v>102</v>
      </c>
      <c r="B801" s="1531">
        <v>1.7224300000000002E+35</v>
      </c>
      <c r="C801" s="1528" t="s">
        <v>2808</v>
      </c>
      <c r="D801" s="1528" t="s">
        <v>2809</v>
      </c>
      <c r="E801" s="1528">
        <v>30000</v>
      </c>
      <c r="F801" s="1528"/>
      <c r="G801" s="1528">
        <v>30000</v>
      </c>
      <c r="H801" s="1528">
        <v>30000</v>
      </c>
      <c r="I801" s="1528">
        <v>0</v>
      </c>
      <c r="J801" s="1528">
        <v>0</v>
      </c>
      <c r="K801" s="1528">
        <v>0</v>
      </c>
      <c r="L801" s="1528" t="s">
        <v>2129</v>
      </c>
      <c r="M801" s="1528" t="s">
        <v>2129</v>
      </c>
      <c r="N801" s="1528" t="s">
        <v>2129</v>
      </c>
      <c r="O801" s="1528" t="s">
        <v>2129</v>
      </c>
      <c r="P801" s="1528" t="s">
        <v>2129</v>
      </c>
      <c r="Q801" s="1528" t="s">
        <v>2129</v>
      </c>
      <c r="R801" s="1528" t="s">
        <v>2129</v>
      </c>
      <c r="S801" s="1410" t="s">
        <v>2163</v>
      </c>
      <c r="T801" s="1528"/>
      <c r="U801" s="1528"/>
      <c r="V801" s="1528">
        <v>7.2016999999999998</v>
      </c>
      <c r="W801" s="1528">
        <v>12.201700000000001</v>
      </c>
      <c r="X801" s="1528" t="s">
        <v>2131</v>
      </c>
      <c r="Y801" s="1528" t="s">
        <v>2132</v>
      </c>
      <c r="Z801" s="1528" t="s">
        <v>2132</v>
      </c>
      <c r="AA801" s="1528"/>
      <c r="AB801" s="1528"/>
      <c r="AC801" s="1528"/>
      <c r="AD801" s="1528" t="s">
        <v>2133</v>
      </c>
      <c r="AE801" s="1528"/>
      <c r="AF801" s="1528"/>
      <c r="AG801" s="1528"/>
    </row>
    <row r="802" spans="1:33" ht="84.75" hidden="1" thickBot="1">
      <c r="A802" s="1530"/>
      <c r="B802" s="1532"/>
      <c r="C802" s="1530"/>
      <c r="D802" s="1529"/>
      <c r="E802" s="1529"/>
      <c r="F802" s="1529"/>
      <c r="G802" s="1529"/>
      <c r="H802" s="1529"/>
      <c r="I802" s="1529"/>
      <c r="J802" s="1529"/>
      <c r="K802" s="1529"/>
      <c r="L802" s="1529"/>
      <c r="M802" s="1529"/>
      <c r="N802" s="1529"/>
      <c r="O802" s="1529"/>
      <c r="P802" s="1529"/>
      <c r="Q802" s="1529"/>
      <c r="R802" s="1529"/>
      <c r="S802" s="1409" t="s">
        <v>2239</v>
      </c>
      <c r="T802" s="1529"/>
      <c r="U802" s="1529"/>
      <c r="V802" s="1529"/>
      <c r="W802" s="1529"/>
      <c r="X802" s="1529"/>
      <c r="Y802" s="1529"/>
      <c r="Z802" s="1529"/>
      <c r="AA802" s="1529"/>
      <c r="AB802" s="1529"/>
      <c r="AC802" s="1529"/>
      <c r="AD802" s="1529"/>
      <c r="AE802" s="1529"/>
      <c r="AF802" s="1529"/>
      <c r="AG802" s="1529"/>
    </row>
    <row r="803" spans="1:33" ht="15.75" hidden="1" thickBot="1">
      <c r="A803" s="1530"/>
      <c r="B803" s="1532"/>
      <c r="C803" s="1530"/>
      <c r="D803" s="1410" t="s">
        <v>2810</v>
      </c>
      <c r="E803" s="1528" t="s">
        <v>2129</v>
      </c>
      <c r="F803" s="1528" t="s">
        <v>2129</v>
      </c>
      <c r="G803" s="1528" t="s">
        <v>2129</v>
      </c>
      <c r="H803" s="1528" t="s">
        <v>2129</v>
      </c>
      <c r="I803" s="1528" t="s">
        <v>2129</v>
      </c>
      <c r="J803" s="1528" t="s">
        <v>2129</v>
      </c>
      <c r="K803" s="1528" t="s">
        <v>2129</v>
      </c>
      <c r="L803" s="1528" t="s">
        <v>2152</v>
      </c>
      <c r="M803" s="1528">
        <v>113</v>
      </c>
      <c r="N803" s="1528">
        <v>5</v>
      </c>
      <c r="O803" s="1528">
        <v>5</v>
      </c>
      <c r="P803" s="1528"/>
      <c r="Q803" s="1528"/>
      <c r="R803" s="1528"/>
      <c r="S803" s="1528" t="s">
        <v>2129</v>
      </c>
      <c r="T803" s="1528" t="s">
        <v>2129</v>
      </c>
      <c r="U803" s="1528" t="s">
        <v>2129</v>
      </c>
      <c r="V803" s="1528" t="s">
        <v>2129</v>
      </c>
      <c r="W803" s="1528" t="s">
        <v>2129</v>
      </c>
      <c r="X803" s="1528" t="s">
        <v>2129</v>
      </c>
      <c r="Y803" s="1528" t="s">
        <v>2129</v>
      </c>
      <c r="Z803" s="1528" t="s">
        <v>2129</v>
      </c>
      <c r="AA803" s="1528" t="s">
        <v>2129</v>
      </c>
      <c r="AB803" s="1528" t="s">
        <v>2129</v>
      </c>
      <c r="AC803" s="1528" t="s">
        <v>2129</v>
      </c>
      <c r="AD803" s="1528" t="s">
        <v>2129</v>
      </c>
      <c r="AE803" s="1528" t="s">
        <v>2129</v>
      </c>
      <c r="AF803" s="1528" t="s">
        <v>2129</v>
      </c>
      <c r="AG803" s="1528" t="s">
        <v>2129</v>
      </c>
    </row>
    <row r="804" spans="1:33" ht="60" hidden="1" thickBot="1">
      <c r="A804" s="1529"/>
      <c r="B804" s="1533"/>
      <c r="C804" s="1529"/>
      <c r="D804" s="1409" t="s">
        <v>2811</v>
      </c>
      <c r="E804" s="1529"/>
      <c r="F804" s="1529"/>
      <c r="G804" s="1529"/>
      <c r="H804" s="1529"/>
      <c r="I804" s="1529"/>
      <c r="J804" s="1529"/>
      <c r="K804" s="1529"/>
      <c r="L804" s="1529"/>
      <c r="M804" s="1529"/>
      <c r="N804" s="1529"/>
      <c r="O804" s="1529"/>
      <c r="P804" s="1529"/>
      <c r="Q804" s="1529"/>
      <c r="R804" s="1529"/>
      <c r="S804" s="1529"/>
      <c r="T804" s="1529"/>
      <c r="U804" s="1529"/>
      <c r="V804" s="1529"/>
      <c r="W804" s="1529"/>
      <c r="X804" s="1529"/>
      <c r="Y804" s="1529"/>
      <c r="Z804" s="1529"/>
      <c r="AA804" s="1529"/>
      <c r="AB804" s="1529"/>
      <c r="AC804" s="1529"/>
      <c r="AD804" s="1529"/>
      <c r="AE804" s="1529"/>
      <c r="AF804" s="1529"/>
      <c r="AG804" s="1529"/>
    </row>
    <row r="805" spans="1:33" ht="25.5" hidden="1" customHeight="1">
      <c r="A805" s="1528">
        <v>103</v>
      </c>
      <c r="B805" s="1531">
        <v>1.7224300000000002E+35</v>
      </c>
      <c r="C805" s="1528" t="s">
        <v>2812</v>
      </c>
      <c r="D805" s="1528" t="s">
        <v>2182</v>
      </c>
      <c r="E805" s="1528">
        <v>18790</v>
      </c>
      <c r="F805" s="1528"/>
      <c r="G805" s="1528">
        <v>18790</v>
      </c>
      <c r="H805" s="1528">
        <v>18790</v>
      </c>
      <c r="I805" s="1528">
        <v>0</v>
      </c>
      <c r="J805" s="1528">
        <v>0</v>
      </c>
      <c r="K805" s="1528">
        <v>0</v>
      </c>
      <c r="L805" s="1528" t="s">
        <v>2129</v>
      </c>
      <c r="M805" s="1528" t="s">
        <v>2129</v>
      </c>
      <c r="N805" s="1528" t="s">
        <v>2129</v>
      </c>
      <c r="O805" s="1528" t="s">
        <v>2129</v>
      </c>
      <c r="P805" s="1528" t="s">
        <v>2129</v>
      </c>
      <c r="Q805" s="1528" t="s">
        <v>2129</v>
      </c>
      <c r="R805" s="1528" t="s">
        <v>2129</v>
      </c>
      <c r="S805" s="1410" t="s">
        <v>2163</v>
      </c>
      <c r="T805" s="1528"/>
      <c r="U805" s="1528"/>
      <c r="V805" s="1528">
        <v>6.2016999999999998</v>
      </c>
      <c r="W805" s="1528">
        <v>12.201700000000001</v>
      </c>
      <c r="X805" s="1528" t="s">
        <v>2131</v>
      </c>
      <c r="Y805" s="1528" t="s">
        <v>2132</v>
      </c>
      <c r="Z805" s="1528" t="s">
        <v>2132</v>
      </c>
      <c r="AA805" s="1528"/>
      <c r="AB805" s="1528"/>
      <c r="AC805" s="1528"/>
      <c r="AD805" s="1528" t="s">
        <v>2133</v>
      </c>
      <c r="AE805" s="1528"/>
      <c r="AF805" s="1528"/>
      <c r="AG805" s="1528"/>
    </row>
    <row r="806" spans="1:33" ht="84.75" hidden="1" thickBot="1">
      <c r="A806" s="1530"/>
      <c r="B806" s="1532"/>
      <c r="C806" s="1530"/>
      <c r="D806" s="1529"/>
      <c r="E806" s="1529"/>
      <c r="F806" s="1529"/>
      <c r="G806" s="1529"/>
      <c r="H806" s="1529"/>
      <c r="I806" s="1529"/>
      <c r="J806" s="1529"/>
      <c r="K806" s="1529"/>
      <c r="L806" s="1529"/>
      <c r="M806" s="1529"/>
      <c r="N806" s="1529"/>
      <c r="O806" s="1529"/>
      <c r="P806" s="1529"/>
      <c r="Q806" s="1529"/>
      <c r="R806" s="1529"/>
      <c r="S806" s="1409" t="s">
        <v>2325</v>
      </c>
      <c r="T806" s="1529"/>
      <c r="U806" s="1529"/>
      <c r="V806" s="1529"/>
      <c r="W806" s="1529"/>
      <c r="X806" s="1529"/>
      <c r="Y806" s="1529"/>
      <c r="Z806" s="1529"/>
      <c r="AA806" s="1529"/>
      <c r="AB806" s="1529"/>
      <c r="AC806" s="1529"/>
      <c r="AD806" s="1529"/>
      <c r="AE806" s="1529"/>
      <c r="AF806" s="1529"/>
      <c r="AG806" s="1529"/>
    </row>
    <row r="807" spans="1:33" ht="18.75" hidden="1" thickBot="1">
      <c r="A807" s="1529"/>
      <c r="B807" s="1533"/>
      <c r="C807" s="1529"/>
      <c r="D807" s="1409" t="s">
        <v>2182</v>
      </c>
      <c r="E807" s="1409" t="s">
        <v>2129</v>
      </c>
      <c r="F807" s="1409" t="s">
        <v>2129</v>
      </c>
      <c r="G807" s="1409" t="s">
        <v>2129</v>
      </c>
      <c r="H807" s="1409" t="s">
        <v>2129</v>
      </c>
      <c r="I807" s="1409" t="s">
        <v>2129</v>
      </c>
      <c r="J807" s="1409" t="s">
        <v>2129</v>
      </c>
      <c r="K807" s="1409" t="s">
        <v>2129</v>
      </c>
      <c r="L807" s="1409" t="s">
        <v>2166</v>
      </c>
      <c r="M807" s="1409">
        <v>796</v>
      </c>
      <c r="N807" s="1409">
        <v>1</v>
      </c>
      <c r="O807" s="1409">
        <v>1</v>
      </c>
      <c r="P807" s="1409"/>
      <c r="Q807" s="1409"/>
      <c r="R807" s="1409"/>
      <c r="S807" s="1409" t="s">
        <v>2129</v>
      </c>
      <c r="T807" s="1409" t="s">
        <v>2129</v>
      </c>
      <c r="U807" s="1409" t="s">
        <v>2129</v>
      </c>
      <c r="V807" s="1409" t="s">
        <v>2129</v>
      </c>
      <c r="W807" s="1409" t="s">
        <v>2129</v>
      </c>
      <c r="X807" s="1409" t="s">
        <v>2129</v>
      </c>
      <c r="Y807" s="1409" t="s">
        <v>2129</v>
      </c>
      <c r="Z807" s="1409" t="s">
        <v>2129</v>
      </c>
      <c r="AA807" s="1409" t="s">
        <v>2129</v>
      </c>
      <c r="AB807" s="1409" t="s">
        <v>2129</v>
      </c>
      <c r="AC807" s="1409" t="s">
        <v>2129</v>
      </c>
      <c r="AD807" s="1409" t="s">
        <v>2129</v>
      </c>
      <c r="AE807" s="1409" t="s">
        <v>2129</v>
      </c>
      <c r="AF807" s="1409" t="s">
        <v>2129</v>
      </c>
      <c r="AG807" s="1409" t="s">
        <v>2129</v>
      </c>
    </row>
    <row r="808" spans="1:33" ht="25.5" hidden="1" customHeight="1">
      <c r="A808" s="1528">
        <v>104</v>
      </c>
      <c r="B808" s="1531">
        <v>1.7224300000000002E+35</v>
      </c>
      <c r="C808" s="1528" t="s">
        <v>2813</v>
      </c>
      <c r="D808" s="1528" t="s">
        <v>2814</v>
      </c>
      <c r="E808" s="1528">
        <v>352.84</v>
      </c>
      <c r="F808" s="1528"/>
      <c r="G808" s="1528">
        <v>352.84</v>
      </c>
      <c r="H808" s="1528">
        <v>352.84</v>
      </c>
      <c r="I808" s="1528">
        <v>0</v>
      </c>
      <c r="J808" s="1528">
        <v>0</v>
      </c>
      <c r="K808" s="1528">
        <v>0</v>
      </c>
      <c r="L808" s="1528" t="s">
        <v>2129</v>
      </c>
      <c r="M808" s="1528" t="s">
        <v>2129</v>
      </c>
      <c r="N808" s="1528" t="s">
        <v>2129</v>
      </c>
      <c r="O808" s="1528" t="s">
        <v>2129</v>
      </c>
      <c r="P808" s="1528" t="s">
        <v>2129</v>
      </c>
      <c r="Q808" s="1528" t="s">
        <v>2129</v>
      </c>
      <c r="R808" s="1528" t="s">
        <v>2129</v>
      </c>
      <c r="S808" s="1410" t="s">
        <v>2163</v>
      </c>
      <c r="T808" s="1528"/>
      <c r="U808" s="1528"/>
      <c r="V808" s="1528">
        <v>9.2017000000000007</v>
      </c>
      <c r="W808" s="1528">
        <v>12.201700000000001</v>
      </c>
      <c r="X808" s="1528" t="s">
        <v>2131</v>
      </c>
      <c r="Y808" s="1528" t="s">
        <v>2132</v>
      </c>
      <c r="Z808" s="1528" t="s">
        <v>2132</v>
      </c>
      <c r="AA808" s="1528"/>
      <c r="AB808" s="1528"/>
      <c r="AC808" s="1528"/>
      <c r="AD808" s="1528" t="s">
        <v>2133</v>
      </c>
      <c r="AE808" s="1528"/>
      <c r="AF808" s="1528"/>
      <c r="AG808" s="1528"/>
    </row>
    <row r="809" spans="1:33" ht="84.75" hidden="1" thickBot="1">
      <c r="A809" s="1530"/>
      <c r="B809" s="1532"/>
      <c r="C809" s="1530"/>
      <c r="D809" s="1529"/>
      <c r="E809" s="1529"/>
      <c r="F809" s="1529"/>
      <c r="G809" s="1529"/>
      <c r="H809" s="1529"/>
      <c r="I809" s="1529"/>
      <c r="J809" s="1529"/>
      <c r="K809" s="1529"/>
      <c r="L809" s="1529"/>
      <c r="M809" s="1529"/>
      <c r="N809" s="1529"/>
      <c r="O809" s="1529"/>
      <c r="P809" s="1529"/>
      <c r="Q809" s="1529"/>
      <c r="R809" s="1529"/>
      <c r="S809" s="1409" t="s">
        <v>2239</v>
      </c>
      <c r="T809" s="1529"/>
      <c r="U809" s="1529"/>
      <c r="V809" s="1529"/>
      <c r="W809" s="1529"/>
      <c r="X809" s="1529"/>
      <c r="Y809" s="1529"/>
      <c r="Z809" s="1529"/>
      <c r="AA809" s="1529"/>
      <c r="AB809" s="1529"/>
      <c r="AC809" s="1529"/>
      <c r="AD809" s="1529"/>
      <c r="AE809" s="1529"/>
      <c r="AF809" s="1529"/>
      <c r="AG809" s="1529"/>
    </row>
    <row r="810" spans="1:33" ht="18.75" hidden="1" thickBot="1">
      <c r="A810" s="1529"/>
      <c r="B810" s="1533"/>
      <c r="C810" s="1529"/>
      <c r="D810" s="1409" t="s">
        <v>2815</v>
      </c>
      <c r="E810" s="1409" t="s">
        <v>2129</v>
      </c>
      <c r="F810" s="1409" t="s">
        <v>2129</v>
      </c>
      <c r="G810" s="1409" t="s">
        <v>2129</v>
      </c>
      <c r="H810" s="1409" t="s">
        <v>2129</v>
      </c>
      <c r="I810" s="1409" t="s">
        <v>2129</v>
      </c>
      <c r="J810" s="1409" t="s">
        <v>2129</v>
      </c>
      <c r="K810" s="1409" t="s">
        <v>2129</v>
      </c>
      <c r="L810" s="1409" t="s">
        <v>2166</v>
      </c>
      <c r="M810" s="1409">
        <v>796</v>
      </c>
      <c r="N810" s="1409">
        <v>1</v>
      </c>
      <c r="O810" s="1409">
        <v>1</v>
      </c>
      <c r="P810" s="1409"/>
      <c r="Q810" s="1409"/>
      <c r="R810" s="1409"/>
      <c r="S810" s="1409" t="s">
        <v>2129</v>
      </c>
      <c r="T810" s="1409" t="s">
        <v>2129</v>
      </c>
      <c r="U810" s="1409" t="s">
        <v>2129</v>
      </c>
      <c r="V810" s="1409" t="s">
        <v>2129</v>
      </c>
      <c r="W810" s="1409" t="s">
        <v>2129</v>
      </c>
      <c r="X810" s="1409" t="s">
        <v>2129</v>
      </c>
      <c r="Y810" s="1409" t="s">
        <v>2129</v>
      </c>
      <c r="Z810" s="1409" t="s">
        <v>2129</v>
      </c>
      <c r="AA810" s="1409" t="s">
        <v>2129</v>
      </c>
      <c r="AB810" s="1409" t="s">
        <v>2129</v>
      </c>
      <c r="AC810" s="1409" t="s">
        <v>2129</v>
      </c>
      <c r="AD810" s="1409" t="s">
        <v>2129</v>
      </c>
      <c r="AE810" s="1409" t="s">
        <v>2129</v>
      </c>
      <c r="AF810" s="1409" t="s">
        <v>2129</v>
      </c>
      <c r="AG810" s="1409" t="s">
        <v>2129</v>
      </c>
    </row>
    <row r="811" spans="1:33" ht="25.5" hidden="1" customHeight="1">
      <c r="A811" s="1528">
        <v>105</v>
      </c>
      <c r="B811" s="1531">
        <v>1.7224300000000002E+35</v>
      </c>
      <c r="C811" s="1528" t="s">
        <v>2816</v>
      </c>
      <c r="D811" s="1528" t="s">
        <v>2817</v>
      </c>
      <c r="E811" s="1528">
        <v>41.4</v>
      </c>
      <c r="F811" s="1528"/>
      <c r="G811" s="1528">
        <v>41.4</v>
      </c>
      <c r="H811" s="1528">
        <v>41.4</v>
      </c>
      <c r="I811" s="1528">
        <v>0</v>
      </c>
      <c r="J811" s="1528">
        <v>0</v>
      </c>
      <c r="K811" s="1528">
        <v>0</v>
      </c>
      <c r="L811" s="1528" t="s">
        <v>2129</v>
      </c>
      <c r="M811" s="1528" t="s">
        <v>2129</v>
      </c>
      <c r="N811" s="1528" t="s">
        <v>2129</v>
      </c>
      <c r="O811" s="1528" t="s">
        <v>2129</v>
      </c>
      <c r="P811" s="1528" t="s">
        <v>2129</v>
      </c>
      <c r="Q811" s="1528" t="s">
        <v>2129</v>
      </c>
      <c r="R811" s="1528" t="s">
        <v>2129</v>
      </c>
      <c r="S811" s="1410" t="s">
        <v>2163</v>
      </c>
      <c r="T811" s="1528"/>
      <c r="U811" s="1528"/>
      <c r="V811" s="1528">
        <v>9.2017000000000007</v>
      </c>
      <c r="W811" s="1528">
        <v>12.201700000000001</v>
      </c>
      <c r="X811" s="1528" t="s">
        <v>2131</v>
      </c>
      <c r="Y811" s="1528" t="s">
        <v>2132</v>
      </c>
      <c r="Z811" s="1528" t="s">
        <v>2132</v>
      </c>
      <c r="AA811" s="1528"/>
      <c r="AB811" s="1528"/>
      <c r="AC811" s="1528"/>
      <c r="AD811" s="1528" t="s">
        <v>2133</v>
      </c>
      <c r="AE811" s="1528"/>
      <c r="AF811" s="1528"/>
      <c r="AG811" s="1528"/>
    </row>
    <row r="812" spans="1:33" ht="84.75" hidden="1" thickBot="1">
      <c r="A812" s="1530"/>
      <c r="B812" s="1532"/>
      <c r="C812" s="1530"/>
      <c r="D812" s="1529"/>
      <c r="E812" s="1529"/>
      <c r="F812" s="1529"/>
      <c r="G812" s="1529"/>
      <c r="H812" s="1529"/>
      <c r="I812" s="1529"/>
      <c r="J812" s="1529"/>
      <c r="K812" s="1529"/>
      <c r="L812" s="1529"/>
      <c r="M812" s="1529"/>
      <c r="N812" s="1529"/>
      <c r="O812" s="1529"/>
      <c r="P812" s="1529"/>
      <c r="Q812" s="1529"/>
      <c r="R812" s="1529"/>
      <c r="S812" s="1409" t="s">
        <v>2239</v>
      </c>
      <c r="T812" s="1529"/>
      <c r="U812" s="1529"/>
      <c r="V812" s="1529"/>
      <c r="W812" s="1529"/>
      <c r="X812" s="1529"/>
      <c r="Y812" s="1529"/>
      <c r="Z812" s="1529"/>
      <c r="AA812" s="1529"/>
      <c r="AB812" s="1529"/>
      <c r="AC812" s="1529"/>
      <c r="AD812" s="1529"/>
      <c r="AE812" s="1529"/>
      <c r="AF812" s="1529"/>
      <c r="AG812" s="1529"/>
    </row>
    <row r="813" spans="1:33" ht="18.75" hidden="1" thickBot="1">
      <c r="A813" s="1529"/>
      <c r="B813" s="1533"/>
      <c r="C813" s="1529"/>
      <c r="D813" s="1409" t="s">
        <v>2818</v>
      </c>
      <c r="E813" s="1409" t="s">
        <v>2129</v>
      </c>
      <c r="F813" s="1409" t="s">
        <v>2129</v>
      </c>
      <c r="G813" s="1409" t="s">
        <v>2129</v>
      </c>
      <c r="H813" s="1409" t="s">
        <v>2129</v>
      </c>
      <c r="I813" s="1409" t="s">
        <v>2129</v>
      </c>
      <c r="J813" s="1409" t="s">
        <v>2129</v>
      </c>
      <c r="K813" s="1409" t="s">
        <v>2129</v>
      </c>
      <c r="L813" s="1409" t="s">
        <v>2166</v>
      </c>
      <c r="M813" s="1409">
        <v>796</v>
      </c>
      <c r="N813" s="1409">
        <v>1</v>
      </c>
      <c r="O813" s="1409">
        <v>1</v>
      </c>
      <c r="P813" s="1409"/>
      <c r="Q813" s="1409"/>
      <c r="R813" s="1409"/>
      <c r="S813" s="1409" t="s">
        <v>2129</v>
      </c>
      <c r="T813" s="1409" t="s">
        <v>2129</v>
      </c>
      <c r="U813" s="1409" t="s">
        <v>2129</v>
      </c>
      <c r="V813" s="1409" t="s">
        <v>2129</v>
      </c>
      <c r="W813" s="1409" t="s">
        <v>2129</v>
      </c>
      <c r="X813" s="1409" t="s">
        <v>2129</v>
      </c>
      <c r="Y813" s="1409" t="s">
        <v>2129</v>
      </c>
      <c r="Z813" s="1409" t="s">
        <v>2129</v>
      </c>
      <c r="AA813" s="1409" t="s">
        <v>2129</v>
      </c>
      <c r="AB813" s="1409" t="s">
        <v>2129</v>
      </c>
      <c r="AC813" s="1409" t="s">
        <v>2129</v>
      </c>
      <c r="AD813" s="1409" t="s">
        <v>2129</v>
      </c>
      <c r="AE813" s="1409" t="s">
        <v>2129</v>
      </c>
      <c r="AF813" s="1409" t="s">
        <v>2129</v>
      </c>
      <c r="AG813" s="1409" t="s">
        <v>2129</v>
      </c>
    </row>
    <row r="814" spans="1:33" ht="25.5" hidden="1" customHeight="1">
      <c r="A814" s="1528">
        <v>106</v>
      </c>
      <c r="B814" s="1531">
        <v>1.7224300000000002E+35</v>
      </c>
      <c r="C814" s="1528" t="s">
        <v>2819</v>
      </c>
      <c r="D814" s="1528" t="s">
        <v>2820</v>
      </c>
      <c r="E814" s="1528">
        <v>207255</v>
      </c>
      <c r="F814" s="1528"/>
      <c r="G814" s="1528">
        <v>207255</v>
      </c>
      <c r="H814" s="1528">
        <v>207255</v>
      </c>
      <c r="I814" s="1528">
        <v>0</v>
      </c>
      <c r="J814" s="1528">
        <v>0</v>
      </c>
      <c r="K814" s="1528">
        <v>0</v>
      </c>
      <c r="L814" s="1528" t="s">
        <v>2129</v>
      </c>
      <c r="M814" s="1528" t="s">
        <v>2129</v>
      </c>
      <c r="N814" s="1528" t="s">
        <v>2129</v>
      </c>
      <c r="O814" s="1528" t="s">
        <v>2129</v>
      </c>
      <c r="P814" s="1528" t="s">
        <v>2129</v>
      </c>
      <c r="Q814" s="1528" t="s">
        <v>2129</v>
      </c>
      <c r="R814" s="1528" t="s">
        <v>2129</v>
      </c>
      <c r="S814" s="1410" t="s">
        <v>2149</v>
      </c>
      <c r="T814" s="1528"/>
      <c r="U814" s="1528"/>
      <c r="V814" s="1528">
        <v>9.2017000000000007</v>
      </c>
      <c r="W814" s="1528">
        <v>12.201700000000001</v>
      </c>
      <c r="X814" s="1528" t="s">
        <v>2131</v>
      </c>
      <c r="Y814" s="1528" t="s">
        <v>2132</v>
      </c>
      <c r="Z814" s="1528" t="s">
        <v>2132</v>
      </c>
      <c r="AA814" s="1528"/>
      <c r="AB814" s="1528"/>
      <c r="AC814" s="1528"/>
      <c r="AD814" s="1528" t="s">
        <v>2133</v>
      </c>
      <c r="AE814" s="1410" t="s">
        <v>2134</v>
      </c>
      <c r="AF814" s="1528"/>
      <c r="AG814" s="1528"/>
    </row>
    <row r="815" spans="1:33" ht="84.75" hidden="1" thickBot="1">
      <c r="A815" s="1530"/>
      <c r="B815" s="1532"/>
      <c r="C815" s="1530"/>
      <c r="D815" s="1529"/>
      <c r="E815" s="1529"/>
      <c r="F815" s="1529"/>
      <c r="G815" s="1529"/>
      <c r="H815" s="1529"/>
      <c r="I815" s="1529"/>
      <c r="J815" s="1529"/>
      <c r="K815" s="1529"/>
      <c r="L815" s="1529"/>
      <c r="M815" s="1529"/>
      <c r="N815" s="1529"/>
      <c r="O815" s="1529"/>
      <c r="P815" s="1529"/>
      <c r="Q815" s="1529"/>
      <c r="R815" s="1529"/>
      <c r="S815" s="1409" t="s">
        <v>2239</v>
      </c>
      <c r="T815" s="1529"/>
      <c r="U815" s="1529"/>
      <c r="V815" s="1529"/>
      <c r="W815" s="1529"/>
      <c r="X815" s="1529"/>
      <c r="Y815" s="1529"/>
      <c r="Z815" s="1529"/>
      <c r="AA815" s="1529"/>
      <c r="AB815" s="1529"/>
      <c r="AC815" s="1529"/>
      <c r="AD815" s="1529"/>
      <c r="AE815" s="1409" t="s">
        <v>2136</v>
      </c>
      <c r="AF815" s="1529"/>
      <c r="AG815" s="1529"/>
    </row>
    <row r="816" spans="1:33" ht="18.75" hidden="1" thickBot="1">
      <c r="A816" s="1530"/>
      <c r="B816" s="1532"/>
      <c r="C816" s="1530"/>
      <c r="D816" s="1409" t="s">
        <v>2821</v>
      </c>
      <c r="E816" s="1409" t="s">
        <v>2129</v>
      </c>
      <c r="F816" s="1409" t="s">
        <v>2129</v>
      </c>
      <c r="G816" s="1409" t="s">
        <v>2129</v>
      </c>
      <c r="H816" s="1409" t="s">
        <v>2129</v>
      </c>
      <c r="I816" s="1409" t="s">
        <v>2129</v>
      </c>
      <c r="J816" s="1409" t="s">
        <v>2129</v>
      </c>
      <c r="K816" s="1409" t="s">
        <v>2129</v>
      </c>
      <c r="L816" s="1409" t="s">
        <v>2286</v>
      </c>
      <c r="M816" s="1409">
        <v>166</v>
      </c>
      <c r="N816" s="1409">
        <v>20</v>
      </c>
      <c r="O816" s="1409">
        <v>20</v>
      </c>
      <c r="P816" s="1409"/>
      <c r="Q816" s="1409"/>
      <c r="R816" s="1409"/>
      <c r="S816" s="1409" t="s">
        <v>2129</v>
      </c>
      <c r="T816" s="1409" t="s">
        <v>2129</v>
      </c>
      <c r="U816" s="1409" t="s">
        <v>2129</v>
      </c>
      <c r="V816" s="1409" t="s">
        <v>2129</v>
      </c>
      <c r="W816" s="1409" t="s">
        <v>2129</v>
      </c>
      <c r="X816" s="1409" t="s">
        <v>2129</v>
      </c>
      <c r="Y816" s="1409" t="s">
        <v>2129</v>
      </c>
      <c r="Z816" s="1409" t="s">
        <v>2129</v>
      </c>
      <c r="AA816" s="1409" t="s">
        <v>2129</v>
      </c>
      <c r="AB816" s="1409" t="s">
        <v>2129</v>
      </c>
      <c r="AC816" s="1409" t="s">
        <v>2129</v>
      </c>
      <c r="AD816" s="1409" t="s">
        <v>2129</v>
      </c>
      <c r="AE816" s="1409" t="s">
        <v>2129</v>
      </c>
      <c r="AF816" s="1409" t="s">
        <v>2129</v>
      </c>
      <c r="AG816" s="1409" t="s">
        <v>2129</v>
      </c>
    </row>
    <row r="817" spans="1:33" ht="15.75" hidden="1" thickBot="1">
      <c r="A817" s="1530"/>
      <c r="B817" s="1532"/>
      <c r="C817" s="1530"/>
      <c r="D817" s="1409" t="s">
        <v>2822</v>
      </c>
      <c r="E817" s="1409" t="s">
        <v>2129</v>
      </c>
      <c r="F817" s="1409" t="s">
        <v>2129</v>
      </c>
      <c r="G817" s="1409" t="s">
        <v>2129</v>
      </c>
      <c r="H817" s="1409" t="s">
        <v>2129</v>
      </c>
      <c r="I817" s="1409" t="s">
        <v>2129</v>
      </c>
      <c r="J817" s="1409" t="s">
        <v>2129</v>
      </c>
      <c r="K817" s="1409" t="s">
        <v>2129</v>
      </c>
      <c r="L817" s="1409" t="s">
        <v>2286</v>
      </c>
      <c r="M817" s="1409">
        <v>166</v>
      </c>
      <c r="N817" s="1409">
        <v>50</v>
      </c>
      <c r="O817" s="1409">
        <v>50</v>
      </c>
      <c r="P817" s="1409"/>
      <c r="Q817" s="1409"/>
      <c r="R817" s="1409"/>
      <c r="S817" s="1409" t="s">
        <v>2129</v>
      </c>
      <c r="T817" s="1409" t="s">
        <v>2129</v>
      </c>
      <c r="U817" s="1409" t="s">
        <v>2129</v>
      </c>
      <c r="V817" s="1409" t="s">
        <v>2129</v>
      </c>
      <c r="W817" s="1409" t="s">
        <v>2129</v>
      </c>
      <c r="X817" s="1409" t="s">
        <v>2129</v>
      </c>
      <c r="Y817" s="1409" t="s">
        <v>2129</v>
      </c>
      <c r="Z817" s="1409" t="s">
        <v>2129</v>
      </c>
      <c r="AA817" s="1409" t="s">
        <v>2129</v>
      </c>
      <c r="AB817" s="1409" t="s">
        <v>2129</v>
      </c>
      <c r="AC817" s="1409" t="s">
        <v>2129</v>
      </c>
      <c r="AD817" s="1409" t="s">
        <v>2129</v>
      </c>
      <c r="AE817" s="1409" t="s">
        <v>2129</v>
      </c>
      <c r="AF817" s="1409" t="s">
        <v>2129</v>
      </c>
      <c r="AG817" s="1409" t="s">
        <v>2129</v>
      </c>
    </row>
    <row r="818" spans="1:33" ht="15.75" hidden="1" thickBot="1">
      <c r="A818" s="1530"/>
      <c r="B818" s="1532"/>
      <c r="C818" s="1530"/>
      <c r="D818" s="1409" t="s">
        <v>2823</v>
      </c>
      <c r="E818" s="1409" t="s">
        <v>2129</v>
      </c>
      <c r="F818" s="1409" t="s">
        <v>2129</v>
      </c>
      <c r="G818" s="1409" t="s">
        <v>2129</v>
      </c>
      <c r="H818" s="1409" t="s">
        <v>2129</v>
      </c>
      <c r="I818" s="1409" t="s">
        <v>2129</v>
      </c>
      <c r="J818" s="1409" t="s">
        <v>2129</v>
      </c>
      <c r="K818" s="1409" t="s">
        <v>2129</v>
      </c>
      <c r="L818" s="1409" t="s">
        <v>2286</v>
      </c>
      <c r="M818" s="1409">
        <v>166</v>
      </c>
      <c r="N818" s="1409">
        <v>10</v>
      </c>
      <c r="O818" s="1409">
        <v>10</v>
      </c>
      <c r="P818" s="1409"/>
      <c r="Q818" s="1409"/>
      <c r="R818" s="1409"/>
      <c r="S818" s="1409" t="s">
        <v>2129</v>
      </c>
      <c r="T818" s="1409" t="s">
        <v>2129</v>
      </c>
      <c r="U818" s="1409" t="s">
        <v>2129</v>
      </c>
      <c r="V818" s="1409" t="s">
        <v>2129</v>
      </c>
      <c r="W818" s="1409" t="s">
        <v>2129</v>
      </c>
      <c r="X818" s="1409" t="s">
        <v>2129</v>
      </c>
      <c r="Y818" s="1409" t="s">
        <v>2129</v>
      </c>
      <c r="Z818" s="1409" t="s">
        <v>2129</v>
      </c>
      <c r="AA818" s="1409" t="s">
        <v>2129</v>
      </c>
      <c r="AB818" s="1409" t="s">
        <v>2129</v>
      </c>
      <c r="AC818" s="1409" t="s">
        <v>2129</v>
      </c>
      <c r="AD818" s="1409" t="s">
        <v>2129</v>
      </c>
      <c r="AE818" s="1409" t="s">
        <v>2129</v>
      </c>
      <c r="AF818" s="1409" t="s">
        <v>2129</v>
      </c>
      <c r="AG818" s="1409" t="s">
        <v>2129</v>
      </c>
    </row>
    <row r="819" spans="1:33" ht="18.75" hidden="1" thickBot="1">
      <c r="A819" s="1530"/>
      <c r="B819" s="1532"/>
      <c r="C819" s="1530"/>
      <c r="D819" s="1409" t="s">
        <v>2824</v>
      </c>
      <c r="E819" s="1409" t="s">
        <v>2129</v>
      </c>
      <c r="F819" s="1409" t="s">
        <v>2129</v>
      </c>
      <c r="G819" s="1409" t="s">
        <v>2129</v>
      </c>
      <c r="H819" s="1409" t="s">
        <v>2129</v>
      </c>
      <c r="I819" s="1409" t="s">
        <v>2129</v>
      </c>
      <c r="J819" s="1409" t="s">
        <v>2129</v>
      </c>
      <c r="K819" s="1409" t="s">
        <v>2129</v>
      </c>
      <c r="L819" s="1409" t="s">
        <v>2286</v>
      </c>
      <c r="M819" s="1409">
        <v>166</v>
      </c>
      <c r="N819" s="1409">
        <v>50</v>
      </c>
      <c r="O819" s="1409">
        <v>50</v>
      </c>
      <c r="P819" s="1409"/>
      <c r="Q819" s="1409"/>
      <c r="R819" s="1409"/>
      <c r="S819" s="1409" t="s">
        <v>2129</v>
      </c>
      <c r="T819" s="1409" t="s">
        <v>2129</v>
      </c>
      <c r="U819" s="1409" t="s">
        <v>2129</v>
      </c>
      <c r="V819" s="1409" t="s">
        <v>2129</v>
      </c>
      <c r="W819" s="1409" t="s">
        <v>2129</v>
      </c>
      <c r="X819" s="1409" t="s">
        <v>2129</v>
      </c>
      <c r="Y819" s="1409" t="s">
        <v>2129</v>
      </c>
      <c r="Z819" s="1409" t="s">
        <v>2129</v>
      </c>
      <c r="AA819" s="1409" t="s">
        <v>2129</v>
      </c>
      <c r="AB819" s="1409" t="s">
        <v>2129</v>
      </c>
      <c r="AC819" s="1409" t="s">
        <v>2129</v>
      </c>
      <c r="AD819" s="1409" t="s">
        <v>2129</v>
      </c>
      <c r="AE819" s="1409" t="s">
        <v>2129</v>
      </c>
      <c r="AF819" s="1409" t="s">
        <v>2129</v>
      </c>
      <c r="AG819" s="1409" t="s">
        <v>2129</v>
      </c>
    </row>
    <row r="820" spans="1:33" ht="35.25" hidden="1" thickBot="1">
      <c r="A820" s="1530"/>
      <c r="B820" s="1532"/>
      <c r="C820" s="1530"/>
      <c r="D820" s="1409" t="s">
        <v>2825</v>
      </c>
      <c r="E820" s="1409" t="s">
        <v>2129</v>
      </c>
      <c r="F820" s="1409" t="s">
        <v>2129</v>
      </c>
      <c r="G820" s="1409" t="s">
        <v>2129</v>
      </c>
      <c r="H820" s="1409" t="s">
        <v>2129</v>
      </c>
      <c r="I820" s="1409" t="s">
        <v>2129</v>
      </c>
      <c r="J820" s="1409" t="s">
        <v>2129</v>
      </c>
      <c r="K820" s="1409" t="s">
        <v>2129</v>
      </c>
      <c r="L820" s="1409" t="s">
        <v>2286</v>
      </c>
      <c r="M820" s="1409">
        <v>166</v>
      </c>
      <c r="N820" s="1409">
        <v>160</v>
      </c>
      <c r="O820" s="1409">
        <v>160</v>
      </c>
      <c r="P820" s="1409"/>
      <c r="Q820" s="1409"/>
      <c r="R820" s="1409"/>
      <c r="S820" s="1409" t="s">
        <v>2129</v>
      </c>
      <c r="T820" s="1409" t="s">
        <v>2129</v>
      </c>
      <c r="U820" s="1409" t="s">
        <v>2129</v>
      </c>
      <c r="V820" s="1409" t="s">
        <v>2129</v>
      </c>
      <c r="W820" s="1409" t="s">
        <v>2129</v>
      </c>
      <c r="X820" s="1409" t="s">
        <v>2129</v>
      </c>
      <c r="Y820" s="1409" t="s">
        <v>2129</v>
      </c>
      <c r="Z820" s="1409" t="s">
        <v>2129</v>
      </c>
      <c r="AA820" s="1409" t="s">
        <v>2129</v>
      </c>
      <c r="AB820" s="1409" t="s">
        <v>2129</v>
      </c>
      <c r="AC820" s="1409" t="s">
        <v>2129</v>
      </c>
      <c r="AD820" s="1409" t="s">
        <v>2129</v>
      </c>
      <c r="AE820" s="1409" t="s">
        <v>2129</v>
      </c>
      <c r="AF820" s="1409" t="s">
        <v>2129</v>
      </c>
      <c r="AG820" s="1409" t="s">
        <v>2129</v>
      </c>
    </row>
    <row r="821" spans="1:33" ht="27" hidden="1" thickBot="1">
      <c r="A821" s="1530"/>
      <c r="B821" s="1532"/>
      <c r="C821" s="1530"/>
      <c r="D821" s="1409" t="s">
        <v>2826</v>
      </c>
      <c r="E821" s="1409" t="s">
        <v>2129</v>
      </c>
      <c r="F821" s="1409" t="s">
        <v>2129</v>
      </c>
      <c r="G821" s="1409" t="s">
        <v>2129</v>
      </c>
      <c r="H821" s="1409" t="s">
        <v>2129</v>
      </c>
      <c r="I821" s="1409" t="s">
        <v>2129</v>
      </c>
      <c r="J821" s="1409" t="s">
        <v>2129</v>
      </c>
      <c r="K821" s="1409" t="s">
        <v>2129</v>
      </c>
      <c r="L821" s="1409" t="s">
        <v>2166</v>
      </c>
      <c r="M821" s="1409">
        <v>796</v>
      </c>
      <c r="N821" s="1409">
        <v>240</v>
      </c>
      <c r="O821" s="1409">
        <v>240</v>
      </c>
      <c r="P821" s="1409"/>
      <c r="Q821" s="1409"/>
      <c r="R821" s="1409"/>
      <c r="S821" s="1409" t="s">
        <v>2129</v>
      </c>
      <c r="T821" s="1409" t="s">
        <v>2129</v>
      </c>
      <c r="U821" s="1409" t="s">
        <v>2129</v>
      </c>
      <c r="V821" s="1409" t="s">
        <v>2129</v>
      </c>
      <c r="W821" s="1409" t="s">
        <v>2129</v>
      </c>
      <c r="X821" s="1409" t="s">
        <v>2129</v>
      </c>
      <c r="Y821" s="1409" t="s">
        <v>2129</v>
      </c>
      <c r="Z821" s="1409" t="s">
        <v>2129</v>
      </c>
      <c r="AA821" s="1409" t="s">
        <v>2129</v>
      </c>
      <c r="AB821" s="1409" t="s">
        <v>2129</v>
      </c>
      <c r="AC821" s="1409" t="s">
        <v>2129</v>
      </c>
      <c r="AD821" s="1409" t="s">
        <v>2129</v>
      </c>
      <c r="AE821" s="1409" t="s">
        <v>2129</v>
      </c>
      <c r="AF821" s="1409" t="s">
        <v>2129</v>
      </c>
      <c r="AG821" s="1409" t="s">
        <v>2129</v>
      </c>
    </row>
    <row r="822" spans="1:33" ht="27" hidden="1" thickBot="1">
      <c r="A822" s="1530"/>
      <c r="B822" s="1532"/>
      <c r="C822" s="1530"/>
      <c r="D822" s="1409" t="s">
        <v>2827</v>
      </c>
      <c r="E822" s="1409" t="s">
        <v>2129</v>
      </c>
      <c r="F822" s="1409" t="s">
        <v>2129</v>
      </c>
      <c r="G822" s="1409" t="s">
        <v>2129</v>
      </c>
      <c r="H822" s="1409" t="s">
        <v>2129</v>
      </c>
      <c r="I822" s="1409" t="s">
        <v>2129</v>
      </c>
      <c r="J822" s="1409" t="s">
        <v>2129</v>
      </c>
      <c r="K822" s="1409" t="s">
        <v>2129</v>
      </c>
      <c r="L822" s="1409" t="s">
        <v>2286</v>
      </c>
      <c r="M822" s="1409">
        <v>166</v>
      </c>
      <c r="N822" s="1409">
        <v>60</v>
      </c>
      <c r="O822" s="1409">
        <v>60</v>
      </c>
      <c r="P822" s="1409"/>
      <c r="Q822" s="1409"/>
      <c r="R822" s="1409"/>
      <c r="S822" s="1409" t="s">
        <v>2129</v>
      </c>
      <c r="T822" s="1409" t="s">
        <v>2129</v>
      </c>
      <c r="U822" s="1409" t="s">
        <v>2129</v>
      </c>
      <c r="V822" s="1409" t="s">
        <v>2129</v>
      </c>
      <c r="W822" s="1409" t="s">
        <v>2129</v>
      </c>
      <c r="X822" s="1409" t="s">
        <v>2129</v>
      </c>
      <c r="Y822" s="1409" t="s">
        <v>2129</v>
      </c>
      <c r="Z822" s="1409" t="s">
        <v>2129</v>
      </c>
      <c r="AA822" s="1409" t="s">
        <v>2129</v>
      </c>
      <c r="AB822" s="1409" t="s">
        <v>2129</v>
      </c>
      <c r="AC822" s="1409" t="s">
        <v>2129</v>
      </c>
      <c r="AD822" s="1409" t="s">
        <v>2129</v>
      </c>
      <c r="AE822" s="1409" t="s">
        <v>2129</v>
      </c>
      <c r="AF822" s="1409" t="s">
        <v>2129</v>
      </c>
      <c r="AG822" s="1409" t="s">
        <v>2129</v>
      </c>
    </row>
    <row r="823" spans="1:33" ht="18.75" hidden="1" thickBot="1">
      <c r="A823" s="1530"/>
      <c r="B823" s="1532"/>
      <c r="C823" s="1530"/>
      <c r="D823" s="1409" t="s">
        <v>2828</v>
      </c>
      <c r="E823" s="1409" t="s">
        <v>2129</v>
      </c>
      <c r="F823" s="1409" t="s">
        <v>2129</v>
      </c>
      <c r="G823" s="1409" t="s">
        <v>2129</v>
      </c>
      <c r="H823" s="1409" t="s">
        <v>2129</v>
      </c>
      <c r="I823" s="1409" t="s">
        <v>2129</v>
      </c>
      <c r="J823" s="1409" t="s">
        <v>2129</v>
      </c>
      <c r="K823" s="1409" t="s">
        <v>2129</v>
      </c>
      <c r="L823" s="1409" t="s">
        <v>2166</v>
      </c>
      <c r="M823" s="1409">
        <v>796</v>
      </c>
      <c r="N823" s="1409">
        <v>58</v>
      </c>
      <c r="O823" s="1409">
        <v>58</v>
      </c>
      <c r="P823" s="1409"/>
      <c r="Q823" s="1409"/>
      <c r="R823" s="1409"/>
      <c r="S823" s="1409" t="s">
        <v>2129</v>
      </c>
      <c r="T823" s="1409" t="s">
        <v>2129</v>
      </c>
      <c r="U823" s="1409" t="s">
        <v>2129</v>
      </c>
      <c r="V823" s="1409" t="s">
        <v>2129</v>
      </c>
      <c r="W823" s="1409" t="s">
        <v>2129</v>
      </c>
      <c r="X823" s="1409" t="s">
        <v>2129</v>
      </c>
      <c r="Y823" s="1409" t="s">
        <v>2129</v>
      </c>
      <c r="Z823" s="1409" t="s">
        <v>2129</v>
      </c>
      <c r="AA823" s="1409" t="s">
        <v>2129</v>
      </c>
      <c r="AB823" s="1409" t="s">
        <v>2129</v>
      </c>
      <c r="AC823" s="1409" t="s">
        <v>2129</v>
      </c>
      <c r="AD823" s="1409" t="s">
        <v>2129</v>
      </c>
      <c r="AE823" s="1409" t="s">
        <v>2129</v>
      </c>
      <c r="AF823" s="1409" t="s">
        <v>2129</v>
      </c>
      <c r="AG823" s="1409" t="s">
        <v>2129</v>
      </c>
    </row>
    <row r="824" spans="1:33" ht="15.75" hidden="1" thickBot="1">
      <c r="A824" s="1530"/>
      <c r="B824" s="1532"/>
      <c r="C824" s="1530"/>
      <c r="D824" s="1409" t="s">
        <v>2829</v>
      </c>
      <c r="E824" s="1409" t="s">
        <v>2129</v>
      </c>
      <c r="F824" s="1409" t="s">
        <v>2129</v>
      </c>
      <c r="G824" s="1409" t="s">
        <v>2129</v>
      </c>
      <c r="H824" s="1409" t="s">
        <v>2129</v>
      </c>
      <c r="I824" s="1409" t="s">
        <v>2129</v>
      </c>
      <c r="J824" s="1409" t="s">
        <v>2129</v>
      </c>
      <c r="K824" s="1409" t="s">
        <v>2129</v>
      </c>
      <c r="L824" s="1409" t="s">
        <v>2286</v>
      </c>
      <c r="M824" s="1409">
        <v>166</v>
      </c>
      <c r="N824" s="1409">
        <v>10</v>
      </c>
      <c r="O824" s="1409">
        <v>10</v>
      </c>
      <c r="P824" s="1409"/>
      <c r="Q824" s="1409"/>
      <c r="R824" s="1409"/>
      <c r="S824" s="1409" t="s">
        <v>2129</v>
      </c>
      <c r="T824" s="1409" t="s">
        <v>2129</v>
      </c>
      <c r="U824" s="1409" t="s">
        <v>2129</v>
      </c>
      <c r="V824" s="1409" t="s">
        <v>2129</v>
      </c>
      <c r="W824" s="1409" t="s">
        <v>2129</v>
      </c>
      <c r="X824" s="1409" t="s">
        <v>2129</v>
      </c>
      <c r="Y824" s="1409" t="s">
        <v>2129</v>
      </c>
      <c r="Z824" s="1409" t="s">
        <v>2129</v>
      </c>
      <c r="AA824" s="1409" t="s">
        <v>2129</v>
      </c>
      <c r="AB824" s="1409" t="s">
        <v>2129</v>
      </c>
      <c r="AC824" s="1409" t="s">
        <v>2129</v>
      </c>
      <c r="AD824" s="1409" t="s">
        <v>2129</v>
      </c>
      <c r="AE824" s="1409" t="s">
        <v>2129</v>
      </c>
      <c r="AF824" s="1409" t="s">
        <v>2129</v>
      </c>
      <c r="AG824" s="1409" t="s">
        <v>2129</v>
      </c>
    </row>
    <row r="825" spans="1:33" ht="18.75" hidden="1" thickBot="1">
      <c r="A825" s="1530"/>
      <c r="B825" s="1532"/>
      <c r="C825" s="1530"/>
      <c r="D825" s="1409" t="s">
        <v>2830</v>
      </c>
      <c r="E825" s="1409" t="s">
        <v>2129</v>
      </c>
      <c r="F825" s="1409" t="s">
        <v>2129</v>
      </c>
      <c r="G825" s="1409" t="s">
        <v>2129</v>
      </c>
      <c r="H825" s="1409" t="s">
        <v>2129</v>
      </c>
      <c r="I825" s="1409" t="s">
        <v>2129</v>
      </c>
      <c r="J825" s="1409" t="s">
        <v>2129</v>
      </c>
      <c r="K825" s="1409" t="s">
        <v>2129</v>
      </c>
      <c r="L825" s="1409" t="s">
        <v>2286</v>
      </c>
      <c r="M825" s="1409">
        <v>166</v>
      </c>
      <c r="N825" s="1409">
        <v>10</v>
      </c>
      <c r="O825" s="1409">
        <v>10</v>
      </c>
      <c r="P825" s="1409"/>
      <c r="Q825" s="1409"/>
      <c r="R825" s="1409"/>
      <c r="S825" s="1409" t="s">
        <v>2129</v>
      </c>
      <c r="T825" s="1409" t="s">
        <v>2129</v>
      </c>
      <c r="U825" s="1409" t="s">
        <v>2129</v>
      </c>
      <c r="V825" s="1409" t="s">
        <v>2129</v>
      </c>
      <c r="W825" s="1409" t="s">
        <v>2129</v>
      </c>
      <c r="X825" s="1409" t="s">
        <v>2129</v>
      </c>
      <c r="Y825" s="1409" t="s">
        <v>2129</v>
      </c>
      <c r="Z825" s="1409" t="s">
        <v>2129</v>
      </c>
      <c r="AA825" s="1409" t="s">
        <v>2129</v>
      </c>
      <c r="AB825" s="1409" t="s">
        <v>2129</v>
      </c>
      <c r="AC825" s="1409" t="s">
        <v>2129</v>
      </c>
      <c r="AD825" s="1409" t="s">
        <v>2129</v>
      </c>
      <c r="AE825" s="1409" t="s">
        <v>2129</v>
      </c>
      <c r="AF825" s="1409" t="s">
        <v>2129</v>
      </c>
      <c r="AG825" s="1409" t="s">
        <v>2129</v>
      </c>
    </row>
    <row r="826" spans="1:33" ht="35.25" hidden="1" thickBot="1">
      <c r="A826" s="1530"/>
      <c r="B826" s="1532"/>
      <c r="C826" s="1530"/>
      <c r="D826" s="1409" t="s">
        <v>2831</v>
      </c>
      <c r="E826" s="1409" t="s">
        <v>2129</v>
      </c>
      <c r="F826" s="1409" t="s">
        <v>2129</v>
      </c>
      <c r="G826" s="1409" t="s">
        <v>2129</v>
      </c>
      <c r="H826" s="1409" t="s">
        <v>2129</v>
      </c>
      <c r="I826" s="1409" t="s">
        <v>2129</v>
      </c>
      <c r="J826" s="1409" t="s">
        <v>2129</v>
      </c>
      <c r="K826" s="1409" t="s">
        <v>2129</v>
      </c>
      <c r="L826" s="1409" t="s">
        <v>2286</v>
      </c>
      <c r="M826" s="1409">
        <v>166</v>
      </c>
      <c r="N826" s="1409">
        <v>10</v>
      </c>
      <c r="O826" s="1409">
        <v>10</v>
      </c>
      <c r="P826" s="1409"/>
      <c r="Q826" s="1409"/>
      <c r="R826" s="1409"/>
      <c r="S826" s="1409" t="s">
        <v>2129</v>
      </c>
      <c r="T826" s="1409" t="s">
        <v>2129</v>
      </c>
      <c r="U826" s="1409" t="s">
        <v>2129</v>
      </c>
      <c r="V826" s="1409" t="s">
        <v>2129</v>
      </c>
      <c r="W826" s="1409" t="s">
        <v>2129</v>
      </c>
      <c r="X826" s="1409" t="s">
        <v>2129</v>
      </c>
      <c r="Y826" s="1409" t="s">
        <v>2129</v>
      </c>
      <c r="Z826" s="1409" t="s">
        <v>2129</v>
      </c>
      <c r="AA826" s="1409" t="s">
        <v>2129</v>
      </c>
      <c r="AB826" s="1409" t="s">
        <v>2129</v>
      </c>
      <c r="AC826" s="1409" t="s">
        <v>2129</v>
      </c>
      <c r="AD826" s="1409" t="s">
        <v>2129</v>
      </c>
      <c r="AE826" s="1409" t="s">
        <v>2129</v>
      </c>
      <c r="AF826" s="1409" t="s">
        <v>2129</v>
      </c>
      <c r="AG826" s="1409" t="s">
        <v>2129</v>
      </c>
    </row>
    <row r="827" spans="1:33" ht="27" hidden="1" thickBot="1">
      <c r="A827" s="1530"/>
      <c r="B827" s="1532"/>
      <c r="C827" s="1530"/>
      <c r="D827" s="1409" t="s">
        <v>2832</v>
      </c>
      <c r="E827" s="1409" t="s">
        <v>2129</v>
      </c>
      <c r="F827" s="1409" t="s">
        <v>2129</v>
      </c>
      <c r="G827" s="1409" t="s">
        <v>2129</v>
      </c>
      <c r="H827" s="1409" t="s">
        <v>2129</v>
      </c>
      <c r="I827" s="1409" t="s">
        <v>2129</v>
      </c>
      <c r="J827" s="1409" t="s">
        <v>2129</v>
      </c>
      <c r="K827" s="1409" t="s">
        <v>2129</v>
      </c>
      <c r="L827" s="1409" t="s">
        <v>2166</v>
      </c>
      <c r="M827" s="1409">
        <v>796</v>
      </c>
      <c r="N827" s="1409">
        <v>24</v>
      </c>
      <c r="O827" s="1409">
        <v>24</v>
      </c>
      <c r="P827" s="1409"/>
      <c r="Q827" s="1409"/>
      <c r="R827" s="1409"/>
      <c r="S827" s="1409" t="s">
        <v>2129</v>
      </c>
      <c r="T827" s="1409" t="s">
        <v>2129</v>
      </c>
      <c r="U827" s="1409" t="s">
        <v>2129</v>
      </c>
      <c r="V827" s="1409" t="s">
        <v>2129</v>
      </c>
      <c r="W827" s="1409" t="s">
        <v>2129</v>
      </c>
      <c r="X827" s="1409" t="s">
        <v>2129</v>
      </c>
      <c r="Y827" s="1409" t="s">
        <v>2129</v>
      </c>
      <c r="Z827" s="1409" t="s">
        <v>2129</v>
      </c>
      <c r="AA827" s="1409" t="s">
        <v>2129</v>
      </c>
      <c r="AB827" s="1409" t="s">
        <v>2129</v>
      </c>
      <c r="AC827" s="1409" t="s">
        <v>2129</v>
      </c>
      <c r="AD827" s="1409" t="s">
        <v>2129</v>
      </c>
      <c r="AE827" s="1409" t="s">
        <v>2129</v>
      </c>
      <c r="AF827" s="1409" t="s">
        <v>2129</v>
      </c>
      <c r="AG827" s="1409" t="s">
        <v>2129</v>
      </c>
    </row>
    <row r="828" spans="1:33" ht="18.75" hidden="1" thickBot="1">
      <c r="A828" s="1530"/>
      <c r="B828" s="1532"/>
      <c r="C828" s="1530"/>
      <c r="D828" s="1409" t="s">
        <v>2833</v>
      </c>
      <c r="E828" s="1409" t="s">
        <v>2129</v>
      </c>
      <c r="F828" s="1409" t="s">
        <v>2129</v>
      </c>
      <c r="G828" s="1409" t="s">
        <v>2129</v>
      </c>
      <c r="H828" s="1409" t="s">
        <v>2129</v>
      </c>
      <c r="I828" s="1409" t="s">
        <v>2129</v>
      </c>
      <c r="J828" s="1409" t="s">
        <v>2129</v>
      </c>
      <c r="K828" s="1409" t="s">
        <v>2129</v>
      </c>
      <c r="L828" s="1409" t="s">
        <v>2286</v>
      </c>
      <c r="M828" s="1409">
        <v>166</v>
      </c>
      <c r="N828" s="1409">
        <v>48</v>
      </c>
      <c r="O828" s="1409">
        <v>48</v>
      </c>
      <c r="P828" s="1409"/>
      <c r="Q828" s="1409"/>
      <c r="R828" s="1409"/>
      <c r="S828" s="1409" t="s">
        <v>2129</v>
      </c>
      <c r="T828" s="1409" t="s">
        <v>2129</v>
      </c>
      <c r="U828" s="1409" t="s">
        <v>2129</v>
      </c>
      <c r="V828" s="1409" t="s">
        <v>2129</v>
      </c>
      <c r="W828" s="1409" t="s">
        <v>2129</v>
      </c>
      <c r="X828" s="1409" t="s">
        <v>2129</v>
      </c>
      <c r="Y828" s="1409" t="s">
        <v>2129</v>
      </c>
      <c r="Z828" s="1409" t="s">
        <v>2129</v>
      </c>
      <c r="AA828" s="1409" t="s">
        <v>2129</v>
      </c>
      <c r="AB828" s="1409" t="s">
        <v>2129</v>
      </c>
      <c r="AC828" s="1409" t="s">
        <v>2129</v>
      </c>
      <c r="AD828" s="1409" t="s">
        <v>2129</v>
      </c>
      <c r="AE828" s="1409" t="s">
        <v>2129</v>
      </c>
      <c r="AF828" s="1409" t="s">
        <v>2129</v>
      </c>
      <c r="AG828" s="1409" t="s">
        <v>2129</v>
      </c>
    </row>
    <row r="829" spans="1:33" ht="27" hidden="1" thickBot="1">
      <c r="A829" s="1530"/>
      <c r="B829" s="1532"/>
      <c r="C829" s="1530"/>
      <c r="D829" s="1409" t="s">
        <v>2834</v>
      </c>
      <c r="E829" s="1409" t="s">
        <v>2129</v>
      </c>
      <c r="F829" s="1409" t="s">
        <v>2129</v>
      </c>
      <c r="G829" s="1409" t="s">
        <v>2129</v>
      </c>
      <c r="H829" s="1409" t="s">
        <v>2129</v>
      </c>
      <c r="I829" s="1409" t="s">
        <v>2129</v>
      </c>
      <c r="J829" s="1409" t="s">
        <v>2129</v>
      </c>
      <c r="K829" s="1409" t="s">
        <v>2129</v>
      </c>
      <c r="L829" s="1409" t="s">
        <v>2166</v>
      </c>
      <c r="M829" s="1409">
        <v>796</v>
      </c>
      <c r="N829" s="1409">
        <v>84</v>
      </c>
      <c r="O829" s="1409">
        <v>84</v>
      </c>
      <c r="P829" s="1409"/>
      <c r="Q829" s="1409"/>
      <c r="R829" s="1409"/>
      <c r="S829" s="1409" t="s">
        <v>2129</v>
      </c>
      <c r="T829" s="1409" t="s">
        <v>2129</v>
      </c>
      <c r="U829" s="1409" t="s">
        <v>2129</v>
      </c>
      <c r="V829" s="1409" t="s">
        <v>2129</v>
      </c>
      <c r="W829" s="1409" t="s">
        <v>2129</v>
      </c>
      <c r="X829" s="1409" t="s">
        <v>2129</v>
      </c>
      <c r="Y829" s="1409" t="s">
        <v>2129</v>
      </c>
      <c r="Z829" s="1409" t="s">
        <v>2129</v>
      </c>
      <c r="AA829" s="1409" t="s">
        <v>2129</v>
      </c>
      <c r="AB829" s="1409" t="s">
        <v>2129</v>
      </c>
      <c r="AC829" s="1409" t="s">
        <v>2129</v>
      </c>
      <c r="AD829" s="1409" t="s">
        <v>2129</v>
      </c>
      <c r="AE829" s="1409" t="s">
        <v>2129</v>
      </c>
      <c r="AF829" s="1409" t="s">
        <v>2129</v>
      </c>
      <c r="AG829" s="1409" t="s">
        <v>2129</v>
      </c>
    </row>
    <row r="830" spans="1:33" ht="35.25" hidden="1" thickBot="1">
      <c r="A830" s="1530"/>
      <c r="B830" s="1532"/>
      <c r="C830" s="1530"/>
      <c r="D830" s="1409" t="s">
        <v>2835</v>
      </c>
      <c r="E830" s="1409" t="s">
        <v>2129</v>
      </c>
      <c r="F830" s="1409" t="s">
        <v>2129</v>
      </c>
      <c r="G830" s="1409" t="s">
        <v>2129</v>
      </c>
      <c r="H830" s="1409" t="s">
        <v>2129</v>
      </c>
      <c r="I830" s="1409" t="s">
        <v>2129</v>
      </c>
      <c r="J830" s="1409" t="s">
        <v>2129</v>
      </c>
      <c r="K830" s="1409" t="s">
        <v>2129</v>
      </c>
      <c r="L830" s="1409" t="s">
        <v>2166</v>
      </c>
      <c r="M830" s="1409">
        <v>796</v>
      </c>
      <c r="N830" s="1409">
        <v>95</v>
      </c>
      <c r="O830" s="1409">
        <v>95</v>
      </c>
      <c r="P830" s="1409"/>
      <c r="Q830" s="1409"/>
      <c r="R830" s="1409"/>
      <c r="S830" s="1409" t="s">
        <v>2129</v>
      </c>
      <c r="T830" s="1409" t="s">
        <v>2129</v>
      </c>
      <c r="U830" s="1409" t="s">
        <v>2129</v>
      </c>
      <c r="V830" s="1409" t="s">
        <v>2129</v>
      </c>
      <c r="W830" s="1409" t="s">
        <v>2129</v>
      </c>
      <c r="X830" s="1409" t="s">
        <v>2129</v>
      </c>
      <c r="Y830" s="1409" t="s">
        <v>2129</v>
      </c>
      <c r="Z830" s="1409" t="s">
        <v>2129</v>
      </c>
      <c r="AA830" s="1409" t="s">
        <v>2129</v>
      </c>
      <c r="AB830" s="1409" t="s">
        <v>2129</v>
      </c>
      <c r="AC830" s="1409" t="s">
        <v>2129</v>
      </c>
      <c r="AD830" s="1409" t="s">
        <v>2129</v>
      </c>
      <c r="AE830" s="1409" t="s">
        <v>2129</v>
      </c>
      <c r="AF830" s="1409" t="s">
        <v>2129</v>
      </c>
      <c r="AG830" s="1409" t="s">
        <v>2129</v>
      </c>
    </row>
    <row r="831" spans="1:33" ht="27" hidden="1" thickBot="1">
      <c r="A831" s="1530"/>
      <c r="B831" s="1532"/>
      <c r="C831" s="1530"/>
      <c r="D831" s="1409" t="s">
        <v>2836</v>
      </c>
      <c r="E831" s="1409" t="s">
        <v>2129</v>
      </c>
      <c r="F831" s="1409" t="s">
        <v>2129</v>
      </c>
      <c r="G831" s="1409" t="s">
        <v>2129</v>
      </c>
      <c r="H831" s="1409" t="s">
        <v>2129</v>
      </c>
      <c r="I831" s="1409" t="s">
        <v>2129</v>
      </c>
      <c r="J831" s="1409" t="s">
        <v>2129</v>
      </c>
      <c r="K831" s="1409" t="s">
        <v>2129</v>
      </c>
      <c r="L831" s="1409" t="s">
        <v>2166</v>
      </c>
      <c r="M831" s="1409">
        <v>796</v>
      </c>
      <c r="N831" s="1409">
        <v>50</v>
      </c>
      <c r="O831" s="1409">
        <v>50</v>
      </c>
      <c r="P831" s="1409"/>
      <c r="Q831" s="1409"/>
      <c r="R831" s="1409"/>
      <c r="S831" s="1409" t="s">
        <v>2129</v>
      </c>
      <c r="T831" s="1409" t="s">
        <v>2129</v>
      </c>
      <c r="U831" s="1409" t="s">
        <v>2129</v>
      </c>
      <c r="V831" s="1409" t="s">
        <v>2129</v>
      </c>
      <c r="W831" s="1409" t="s">
        <v>2129</v>
      </c>
      <c r="X831" s="1409" t="s">
        <v>2129</v>
      </c>
      <c r="Y831" s="1409" t="s">
        <v>2129</v>
      </c>
      <c r="Z831" s="1409" t="s">
        <v>2129</v>
      </c>
      <c r="AA831" s="1409" t="s">
        <v>2129</v>
      </c>
      <c r="AB831" s="1409" t="s">
        <v>2129</v>
      </c>
      <c r="AC831" s="1409" t="s">
        <v>2129</v>
      </c>
      <c r="AD831" s="1409" t="s">
        <v>2129</v>
      </c>
      <c r="AE831" s="1409" t="s">
        <v>2129</v>
      </c>
      <c r="AF831" s="1409" t="s">
        <v>2129</v>
      </c>
      <c r="AG831" s="1409" t="s">
        <v>2129</v>
      </c>
    </row>
    <row r="832" spans="1:33" ht="27" hidden="1" thickBot="1">
      <c r="A832" s="1530"/>
      <c r="B832" s="1532"/>
      <c r="C832" s="1530"/>
      <c r="D832" s="1409" t="s">
        <v>2837</v>
      </c>
      <c r="E832" s="1409" t="s">
        <v>2129</v>
      </c>
      <c r="F832" s="1409" t="s">
        <v>2129</v>
      </c>
      <c r="G832" s="1409" t="s">
        <v>2129</v>
      </c>
      <c r="H832" s="1409" t="s">
        <v>2129</v>
      </c>
      <c r="I832" s="1409" t="s">
        <v>2129</v>
      </c>
      <c r="J832" s="1409" t="s">
        <v>2129</v>
      </c>
      <c r="K832" s="1409" t="s">
        <v>2129</v>
      </c>
      <c r="L832" s="1409" t="s">
        <v>2166</v>
      </c>
      <c r="M832" s="1409">
        <v>796</v>
      </c>
      <c r="N832" s="1409">
        <v>50</v>
      </c>
      <c r="O832" s="1409">
        <v>50</v>
      </c>
      <c r="P832" s="1409"/>
      <c r="Q832" s="1409"/>
      <c r="R832" s="1409"/>
      <c r="S832" s="1409" t="s">
        <v>2129</v>
      </c>
      <c r="T832" s="1409" t="s">
        <v>2129</v>
      </c>
      <c r="U832" s="1409" t="s">
        <v>2129</v>
      </c>
      <c r="V832" s="1409" t="s">
        <v>2129</v>
      </c>
      <c r="W832" s="1409" t="s">
        <v>2129</v>
      </c>
      <c r="X832" s="1409" t="s">
        <v>2129</v>
      </c>
      <c r="Y832" s="1409" t="s">
        <v>2129</v>
      </c>
      <c r="Z832" s="1409" t="s">
        <v>2129</v>
      </c>
      <c r="AA832" s="1409" t="s">
        <v>2129</v>
      </c>
      <c r="AB832" s="1409" t="s">
        <v>2129</v>
      </c>
      <c r="AC832" s="1409" t="s">
        <v>2129</v>
      </c>
      <c r="AD832" s="1409" t="s">
        <v>2129</v>
      </c>
      <c r="AE832" s="1409" t="s">
        <v>2129</v>
      </c>
      <c r="AF832" s="1409" t="s">
        <v>2129</v>
      </c>
      <c r="AG832" s="1409" t="s">
        <v>2129</v>
      </c>
    </row>
    <row r="833" spans="1:33" ht="27" hidden="1" thickBot="1">
      <c r="A833" s="1530"/>
      <c r="B833" s="1532"/>
      <c r="C833" s="1530"/>
      <c r="D833" s="1409" t="s">
        <v>2838</v>
      </c>
      <c r="E833" s="1409" t="s">
        <v>2129</v>
      </c>
      <c r="F833" s="1409" t="s">
        <v>2129</v>
      </c>
      <c r="G833" s="1409" t="s">
        <v>2129</v>
      </c>
      <c r="H833" s="1409" t="s">
        <v>2129</v>
      </c>
      <c r="I833" s="1409" t="s">
        <v>2129</v>
      </c>
      <c r="J833" s="1409" t="s">
        <v>2129</v>
      </c>
      <c r="K833" s="1409" t="s">
        <v>2129</v>
      </c>
      <c r="L833" s="1409" t="s">
        <v>2166</v>
      </c>
      <c r="M833" s="1409">
        <v>796</v>
      </c>
      <c r="N833" s="1409">
        <v>34</v>
      </c>
      <c r="O833" s="1409">
        <v>34</v>
      </c>
      <c r="P833" s="1409"/>
      <c r="Q833" s="1409"/>
      <c r="R833" s="1409"/>
      <c r="S833" s="1409" t="s">
        <v>2129</v>
      </c>
      <c r="T833" s="1409" t="s">
        <v>2129</v>
      </c>
      <c r="U833" s="1409" t="s">
        <v>2129</v>
      </c>
      <c r="V833" s="1409" t="s">
        <v>2129</v>
      </c>
      <c r="W833" s="1409" t="s">
        <v>2129</v>
      </c>
      <c r="X833" s="1409" t="s">
        <v>2129</v>
      </c>
      <c r="Y833" s="1409" t="s">
        <v>2129</v>
      </c>
      <c r="Z833" s="1409" t="s">
        <v>2129</v>
      </c>
      <c r="AA833" s="1409" t="s">
        <v>2129</v>
      </c>
      <c r="AB833" s="1409" t="s">
        <v>2129</v>
      </c>
      <c r="AC833" s="1409" t="s">
        <v>2129</v>
      </c>
      <c r="AD833" s="1409" t="s">
        <v>2129</v>
      </c>
      <c r="AE833" s="1409" t="s">
        <v>2129</v>
      </c>
      <c r="AF833" s="1409" t="s">
        <v>2129</v>
      </c>
      <c r="AG833" s="1409" t="s">
        <v>2129</v>
      </c>
    </row>
    <row r="834" spans="1:33" ht="27" hidden="1" thickBot="1">
      <c r="A834" s="1530"/>
      <c r="B834" s="1532"/>
      <c r="C834" s="1530"/>
      <c r="D834" s="1409" t="s">
        <v>2839</v>
      </c>
      <c r="E834" s="1409" t="s">
        <v>2129</v>
      </c>
      <c r="F834" s="1409" t="s">
        <v>2129</v>
      </c>
      <c r="G834" s="1409" t="s">
        <v>2129</v>
      </c>
      <c r="H834" s="1409" t="s">
        <v>2129</v>
      </c>
      <c r="I834" s="1409" t="s">
        <v>2129</v>
      </c>
      <c r="J834" s="1409" t="s">
        <v>2129</v>
      </c>
      <c r="K834" s="1409" t="s">
        <v>2129</v>
      </c>
      <c r="L834" s="1409" t="s">
        <v>2166</v>
      </c>
      <c r="M834" s="1409">
        <v>796</v>
      </c>
      <c r="N834" s="1409">
        <v>52</v>
      </c>
      <c r="O834" s="1409">
        <v>52</v>
      </c>
      <c r="P834" s="1409"/>
      <c r="Q834" s="1409"/>
      <c r="R834" s="1409"/>
      <c r="S834" s="1409" t="s">
        <v>2129</v>
      </c>
      <c r="T834" s="1409" t="s">
        <v>2129</v>
      </c>
      <c r="U834" s="1409" t="s">
        <v>2129</v>
      </c>
      <c r="V834" s="1409" t="s">
        <v>2129</v>
      </c>
      <c r="W834" s="1409" t="s">
        <v>2129</v>
      </c>
      <c r="X834" s="1409" t="s">
        <v>2129</v>
      </c>
      <c r="Y834" s="1409" t="s">
        <v>2129</v>
      </c>
      <c r="Z834" s="1409" t="s">
        <v>2129</v>
      </c>
      <c r="AA834" s="1409" t="s">
        <v>2129</v>
      </c>
      <c r="AB834" s="1409" t="s">
        <v>2129</v>
      </c>
      <c r="AC834" s="1409" t="s">
        <v>2129</v>
      </c>
      <c r="AD834" s="1409" t="s">
        <v>2129</v>
      </c>
      <c r="AE834" s="1409" t="s">
        <v>2129</v>
      </c>
      <c r="AF834" s="1409" t="s">
        <v>2129</v>
      </c>
      <c r="AG834" s="1409" t="s">
        <v>2129</v>
      </c>
    </row>
    <row r="835" spans="1:33" ht="43.5" hidden="1" thickBot="1">
      <c r="A835" s="1529"/>
      <c r="B835" s="1533"/>
      <c r="C835" s="1529"/>
      <c r="D835" s="1409" t="s">
        <v>2819</v>
      </c>
      <c r="E835" s="1409" t="s">
        <v>2129</v>
      </c>
      <c r="F835" s="1409" t="s">
        <v>2129</v>
      </c>
      <c r="G835" s="1409" t="s">
        <v>2129</v>
      </c>
      <c r="H835" s="1409" t="s">
        <v>2129</v>
      </c>
      <c r="I835" s="1409" t="s">
        <v>2129</v>
      </c>
      <c r="J835" s="1409" t="s">
        <v>2129</v>
      </c>
      <c r="K835" s="1409" t="s">
        <v>2129</v>
      </c>
      <c r="L835" s="1409" t="s">
        <v>2286</v>
      </c>
      <c r="M835" s="1409">
        <v>166</v>
      </c>
      <c r="N835" s="1409">
        <v>1</v>
      </c>
      <c r="O835" s="1409">
        <v>1</v>
      </c>
      <c r="P835" s="1409"/>
      <c r="Q835" s="1409"/>
      <c r="R835" s="1409"/>
      <c r="S835" s="1409" t="s">
        <v>2129</v>
      </c>
      <c r="T835" s="1409" t="s">
        <v>2129</v>
      </c>
      <c r="U835" s="1409" t="s">
        <v>2129</v>
      </c>
      <c r="V835" s="1409" t="s">
        <v>2129</v>
      </c>
      <c r="W835" s="1409" t="s">
        <v>2129</v>
      </c>
      <c r="X835" s="1409" t="s">
        <v>2129</v>
      </c>
      <c r="Y835" s="1409" t="s">
        <v>2129</v>
      </c>
      <c r="Z835" s="1409" t="s">
        <v>2129</v>
      </c>
      <c r="AA835" s="1409" t="s">
        <v>2129</v>
      </c>
      <c r="AB835" s="1409" t="s">
        <v>2129</v>
      </c>
      <c r="AC835" s="1409" t="s">
        <v>2129</v>
      </c>
      <c r="AD835" s="1409" t="s">
        <v>2129</v>
      </c>
      <c r="AE835" s="1409" t="s">
        <v>2129</v>
      </c>
      <c r="AF835" s="1409" t="s">
        <v>2129</v>
      </c>
      <c r="AG835" s="1409" t="s">
        <v>2129</v>
      </c>
    </row>
    <row r="836" spans="1:33" ht="175.5" thickBot="1">
      <c r="A836" s="1528">
        <v>107</v>
      </c>
      <c r="B836" s="1531">
        <v>1.7224300000000002E+35</v>
      </c>
      <c r="C836" s="1528" t="s">
        <v>527</v>
      </c>
      <c r="D836" s="1528" t="s">
        <v>2840</v>
      </c>
      <c r="E836" s="1528">
        <v>112101</v>
      </c>
      <c r="F836" s="1528"/>
      <c r="G836" s="1528">
        <v>112101</v>
      </c>
      <c r="H836" s="1528">
        <v>0</v>
      </c>
      <c r="I836" s="1528">
        <v>112101</v>
      </c>
      <c r="J836" s="1528">
        <v>0</v>
      </c>
      <c r="K836" s="1528">
        <v>0</v>
      </c>
      <c r="L836" s="1528" t="s">
        <v>2129</v>
      </c>
      <c r="M836" s="1528" t="s">
        <v>2129</v>
      </c>
      <c r="N836" s="1528" t="s">
        <v>2129</v>
      </c>
      <c r="O836" s="1528" t="s">
        <v>2129</v>
      </c>
      <c r="P836" s="1528" t="s">
        <v>2129</v>
      </c>
      <c r="Q836" s="1528" t="s">
        <v>2129</v>
      </c>
      <c r="R836" s="1528" t="s">
        <v>2129</v>
      </c>
      <c r="S836" s="1410" t="s">
        <v>2149</v>
      </c>
      <c r="T836" s="1528">
        <v>1121.01</v>
      </c>
      <c r="U836" s="1528">
        <v>5605.05</v>
      </c>
      <c r="V836" s="1528">
        <v>11.201700000000001</v>
      </c>
      <c r="W836" s="1528">
        <v>4.2019000000000002</v>
      </c>
      <c r="X836" s="1528" t="s">
        <v>2281</v>
      </c>
      <c r="Y836" s="1528" t="s">
        <v>2132</v>
      </c>
      <c r="Z836" s="1528" t="s">
        <v>2282</v>
      </c>
      <c r="AA836" s="1528" t="s">
        <v>2346</v>
      </c>
      <c r="AB836" s="1528"/>
      <c r="AC836" s="1528"/>
      <c r="AD836" s="1528" t="s">
        <v>2133</v>
      </c>
      <c r="AE836" s="1410" t="s">
        <v>2645</v>
      </c>
      <c r="AF836" s="1528"/>
      <c r="AG836" s="1528" t="s">
        <v>2283</v>
      </c>
    </row>
    <row r="837" spans="1:33" ht="93" hidden="1" thickBot="1">
      <c r="A837" s="1530"/>
      <c r="B837" s="1532"/>
      <c r="C837" s="1530"/>
      <c r="D837" s="1530"/>
      <c r="E837" s="1530"/>
      <c r="F837" s="1530"/>
      <c r="G837" s="1530"/>
      <c r="H837" s="1530"/>
      <c r="I837" s="1530"/>
      <c r="J837" s="1530"/>
      <c r="K837" s="1530"/>
      <c r="L837" s="1530"/>
      <c r="M837" s="1530"/>
      <c r="N837" s="1530"/>
      <c r="O837" s="1530"/>
      <c r="P837" s="1530"/>
      <c r="Q837" s="1530"/>
      <c r="R837" s="1530"/>
      <c r="S837" s="1410" t="s">
        <v>2841</v>
      </c>
      <c r="T837" s="1530"/>
      <c r="U837" s="1530"/>
      <c r="V837" s="1530"/>
      <c r="W837" s="1530"/>
      <c r="X837" s="1530"/>
      <c r="Y837" s="1530"/>
      <c r="Z837" s="1530"/>
      <c r="AA837" s="1530"/>
      <c r="AB837" s="1530"/>
      <c r="AC837" s="1530"/>
      <c r="AD837" s="1530"/>
      <c r="AE837" s="1410" t="s">
        <v>2136</v>
      </c>
      <c r="AF837" s="1530"/>
      <c r="AG837" s="1530"/>
    </row>
    <row r="838" spans="1:33" ht="15.75" hidden="1" thickBot="1">
      <c r="A838" s="1530"/>
      <c r="B838" s="1532"/>
      <c r="C838" s="1530"/>
      <c r="D838" s="1529"/>
      <c r="E838" s="1529"/>
      <c r="F838" s="1529"/>
      <c r="G838" s="1529"/>
      <c r="H838" s="1529"/>
      <c r="I838" s="1529"/>
      <c r="J838" s="1529"/>
      <c r="K838" s="1529"/>
      <c r="L838" s="1529"/>
      <c r="M838" s="1529"/>
      <c r="N838" s="1529"/>
      <c r="O838" s="1529"/>
      <c r="P838" s="1529"/>
      <c r="Q838" s="1529"/>
      <c r="R838" s="1529"/>
      <c r="S838" s="1409"/>
      <c r="T838" s="1529"/>
      <c r="U838" s="1529"/>
      <c r="V838" s="1529"/>
      <c r="W838" s="1529"/>
      <c r="X838" s="1529"/>
      <c r="Y838" s="1529"/>
      <c r="Z838" s="1529"/>
      <c r="AA838" s="1529"/>
      <c r="AB838" s="1529"/>
      <c r="AC838" s="1529"/>
      <c r="AD838" s="1529"/>
      <c r="AE838" s="1409"/>
      <c r="AF838" s="1529"/>
      <c r="AG838" s="1529"/>
    </row>
    <row r="839" spans="1:33" ht="15.75" hidden="1" thickBot="1">
      <c r="A839" s="1530"/>
      <c r="B839" s="1532"/>
      <c r="C839" s="1530"/>
      <c r="D839" s="1410" t="s">
        <v>527</v>
      </c>
      <c r="E839" s="1528" t="s">
        <v>2129</v>
      </c>
      <c r="F839" s="1528" t="s">
        <v>2129</v>
      </c>
      <c r="G839" s="1528" t="s">
        <v>2129</v>
      </c>
      <c r="H839" s="1528" t="s">
        <v>2129</v>
      </c>
      <c r="I839" s="1528" t="s">
        <v>2129</v>
      </c>
      <c r="J839" s="1528" t="s">
        <v>2129</v>
      </c>
      <c r="K839" s="1528" t="s">
        <v>2129</v>
      </c>
      <c r="L839" s="1528" t="s">
        <v>2286</v>
      </c>
      <c r="M839" s="1528">
        <v>166</v>
      </c>
      <c r="N839" s="1528">
        <v>220</v>
      </c>
      <c r="O839" s="1528"/>
      <c r="P839" s="1528">
        <v>220</v>
      </c>
      <c r="Q839" s="1528"/>
      <c r="R839" s="1528"/>
      <c r="S839" s="1528" t="s">
        <v>2129</v>
      </c>
      <c r="T839" s="1528" t="s">
        <v>2129</v>
      </c>
      <c r="U839" s="1528" t="s">
        <v>2129</v>
      </c>
      <c r="V839" s="1528" t="s">
        <v>2129</v>
      </c>
      <c r="W839" s="1528" t="s">
        <v>2129</v>
      </c>
      <c r="X839" s="1528" t="s">
        <v>2129</v>
      </c>
      <c r="Y839" s="1528" t="s">
        <v>2129</v>
      </c>
      <c r="Z839" s="1528" t="s">
        <v>2129</v>
      </c>
      <c r="AA839" s="1528" t="s">
        <v>2129</v>
      </c>
      <c r="AB839" s="1528" t="s">
        <v>2129</v>
      </c>
      <c r="AC839" s="1528" t="s">
        <v>2129</v>
      </c>
      <c r="AD839" s="1528" t="s">
        <v>2129</v>
      </c>
      <c r="AE839" s="1528" t="s">
        <v>2129</v>
      </c>
      <c r="AF839" s="1528" t="s">
        <v>2129</v>
      </c>
      <c r="AG839" s="1528" t="s">
        <v>2129</v>
      </c>
    </row>
    <row r="840" spans="1:33" ht="101.25" hidden="1" thickBot="1">
      <c r="A840" s="1529"/>
      <c r="B840" s="1533"/>
      <c r="C840" s="1529"/>
      <c r="D840" s="1409" t="s">
        <v>2842</v>
      </c>
      <c r="E840" s="1529"/>
      <c r="F840" s="1529"/>
      <c r="G840" s="1529"/>
      <c r="H840" s="1529"/>
      <c r="I840" s="1529"/>
      <c r="J840" s="1529"/>
      <c r="K840" s="1529"/>
      <c r="L840" s="1529"/>
      <c r="M840" s="1529"/>
      <c r="N840" s="1529"/>
      <c r="O840" s="1529"/>
      <c r="P840" s="1529"/>
      <c r="Q840" s="1529"/>
      <c r="R840" s="1529"/>
      <c r="S840" s="1529"/>
      <c r="T840" s="1529"/>
      <c r="U840" s="1529"/>
      <c r="V840" s="1529"/>
      <c r="W840" s="1529"/>
      <c r="X840" s="1529"/>
      <c r="Y840" s="1529"/>
      <c r="Z840" s="1529"/>
      <c r="AA840" s="1529"/>
      <c r="AB840" s="1529"/>
      <c r="AC840" s="1529"/>
      <c r="AD840" s="1529"/>
      <c r="AE840" s="1529"/>
      <c r="AF840" s="1529"/>
      <c r="AG840" s="1529"/>
    </row>
    <row r="841" spans="1:33" ht="175.5" thickBot="1">
      <c r="A841" s="1528">
        <v>108</v>
      </c>
      <c r="B841" s="1531">
        <v>1.7224300000000002E+35</v>
      </c>
      <c r="C841" s="1528" t="s">
        <v>2843</v>
      </c>
      <c r="D841" s="1528" t="s">
        <v>2641</v>
      </c>
      <c r="E841" s="1528">
        <v>176884.2</v>
      </c>
      <c r="F841" s="1528"/>
      <c r="G841" s="1528">
        <v>176884.2</v>
      </c>
      <c r="H841" s="1528">
        <v>0</v>
      </c>
      <c r="I841" s="1528">
        <v>176884.2</v>
      </c>
      <c r="J841" s="1528">
        <v>0</v>
      </c>
      <c r="K841" s="1528">
        <v>0</v>
      </c>
      <c r="L841" s="1528" t="s">
        <v>2129</v>
      </c>
      <c r="M841" s="1528" t="s">
        <v>2129</v>
      </c>
      <c r="N841" s="1528" t="s">
        <v>2129</v>
      </c>
      <c r="O841" s="1528" t="s">
        <v>2129</v>
      </c>
      <c r="P841" s="1528" t="s">
        <v>2129</v>
      </c>
      <c r="Q841" s="1528" t="s">
        <v>2129</v>
      </c>
      <c r="R841" s="1528" t="s">
        <v>2129</v>
      </c>
      <c r="S841" s="1410" t="s">
        <v>2149</v>
      </c>
      <c r="T841" s="1528">
        <v>1768.84</v>
      </c>
      <c r="U841" s="1528">
        <v>8844.2099999999991</v>
      </c>
      <c r="V841" s="1528">
        <v>11.201700000000001</v>
      </c>
      <c r="W841" s="1528">
        <v>4.2019000000000002</v>
      </c>
      <c r="X841" s="1528" t="s">
        <v>2281</v>
      </c>
      <c r="Y841" s="1528" t="s">
        <v>2132</v>
      </c>
      <c r="Z841" s="1528" t="s">
        <v>2282</v>
      </c>
      <c r="AA841" s="1528"/>
      <c r="AB841" s="1528"/>
      <c r="AC841" s="1528"/>
      <c r="AD841" s="1528" t="s">
        <v>2133</v>
      </c>
      <c r="AE841" s="1410" t="s">
        <v>2645</v>
      </c>
      <c r="AF841" s="1528"/>
      <c r="AG841" s="1528" t="s">
        <v>2283</v>
      </c>
    </row>
    <row r="842" spans="1:33" ht="84.75" hidden="1" thickBot="1">
      <c r="A842" s="1530"/>
      <c r="B842" s="1532"/>
      <c r="C842" s="1530"/>
      <c r="D842" s="1529"/>
      <c r="E842" s="1529"/>
      <c r="F842" s="1529"/>
      <c r="G842" s="1529"/>
      <c r="H842" s="1529"/>
      <c r="I842" s="1529"/>
      <c r="J842" s="1529"/>
      <c r="K842" s="1529"/>
      <c r="L842" s="1529"/>
      <c r="M842" s="1529"/>
      <c r="N842" s="1529"/>
      <c r="O842" s="1529"/>
      <c r="P842" s="1529"/>
      <c r="Q842" s="1529"/>
      <c r="R842" s="1529"/>
      <c r="S842" s="1409" t="s">
        <v>2844</v>
      </c>
      <c r="T842" s="1529"/>
      <c r="U842" s="1529"/>
      <c r="V842" s="1529"/>
      <c r="W842" s="1529"/>
      <c r="X842" s="1529"/>
      <c r="Y842" s="1529"/>
      <c r="Z842" s="1529"/>
      <c r="AA842" s="1529"/>
      <c r="AB842" s="1529"/>
      <c r="AC842" s="1529"/>
      <c r="AD842" s="1529"/>
      <c r="AE842" s="1409" t="s">
        <v>2136</v>
      </c>
      <c r="AF842" s="1529"/>
      <c r="AG842" s="1529"/>
    </row>
    <row r="843" spans="1:33" ht="27" hidden="1" thickBot="1">
      <c r="A843" s="1530"/>
      <c r="B843" s="1532"/>
      <c r="C843" s="1530"/>
      <c r="D843" s="1410" t="s">
        <v>2845</v>
      </c>
      <c r="E843" s="1528" t="s">
        <v>2129</v>
      </c>
      <c r="F843" s="1528" t="s">
        <v>2129</v>
      </c>
      <c r="G843" s="1528" t="s">
        <v>2129</v>
      </c>
      <c r="H843" s="1528" t="s">
        <v>2129</v>
      </c>
      <c r="I843" s="1528" t="s">
        <v>2129</v>
      </c>
      <c r="J843" s="1528" t="s">
        <v>2129</v>
      </c>
      <c r="K843" s="1528" t="s">
        <v>2129</v>
      </c>
      <c r="L843" s="1528" t="s">
        <v>2286</v>
      </c>
      <c r="M843" s="1528">
        <v>166</v>
      </c>
      <c r="N843" s="1528">
        <v>700</v>
      </c>
      <c r="O843" s="1528"/>
      <c r="P843" s="1528">
        <v>700</v>
      </c>
      <c r="Q843" s="1528"/>
      <c r="R843" s="1528"/>
      <c r="S843" s="1528" t="s">
        <v>2129</v>
      </c>
      <c r="T843" s="1528" t="s">
        <v>2129</v>
      </c>
      <c r="U843" s="1528" t="s">
        <v>2129</v>
      </c>
      <c r="V843" s="1528" t="s">
        <v>2129</v>
      </c>
      <c r="W843" s="1528" t="s">
        <v>2129</v>
      </c>
      <c r="X843" s="1528" t="s">
        <v>2129</v>
      </c>
      <c r="Y843" s="1528" t="s">
        <v>2129</v>
      </c>
      <c r="Z843" s="1528" t="s">
        <v>2129</v>
      </c>
      <c r="AA843" s="1528" t="s">
        <v>2129</v>
      </c>
      <c r="AB843" s="1528" t="s">
        <v>2129</v>
      </c>
      <c r="AC843" s="1528" t="s">
        <v>2129</v>
      </c>
      <c r="AD843" s="1528" t="s">
        <v>2129</v>
      </c>
      <c r="AE843" s="1528" t="s">
        <v>2129</v>
      </c>
      <c r="AF843" s="1528" t="s">
        <v>2129</v>
      </c>
      <c r="AG843" s="1528" t="s">
        <v>2129</v>
      </c>
    </row>
    <row r="844" spans="1:33" ht="93" hidden="1" thickBot="1">
      <c r="A844" s="1530"/>
      <c r="B844" s="1532"/>
      <c r="C844" s="1530"/>
      <c r="D844" s="1409" t="s">
        <v>2846</v>
      </c>
      <c r="E844" s="1529"/>
      <c r="F844" s="1529"/>
      <c r="G844" s="1529"/>
      <c r="H844" s="1529"/>
      <c r="I844" s="1529"/>
      <c r="J844" s="1529"/>
      <c r="K844" s="1529"/>
      <c r="L844" s="1529"/>
      <c r="M844" s="1529"/>
      <c r="N844" s="1529"/>
      <c r="O844" s="1529"/>
      <c r="P844" s="1529"/>
      <c r="Q844" s="1529"/>
      <c r="R844" s="1529"/>
      <c r="S844" s="1529"/>
      <c r="T844" s="1529"/>
      <c r="U844" s="1529"/>
      <c r="V844" s="1529"/>
      <c r="W844" s="1529"/>
      <c r="X844" s="1529"/>
      <c r="Y844" s="1529"/>
      <c r="Z844" s="1529"/>
      <c r="AA844" s="1529"/>
      <c r="AB844" s="1529"/>
      <c r="AC844" s="1529"/>
      <c r="AD844" s="1529"/>
      <c r="AE844" s="1529"/>
      <c r="AF844" s="1529"/>
      <c r="AG844" s="1529"/>
    </row>
    <row r="845" spans="1:33" ht="27" hidden="1" thickBot="1">
      <c r="A845" s="1530"/>
      <c r="B845" s="1532"/>
      <c r="C845" s="1530"/>
      <c r="D845" s="1410" t="s">
        <v>2771</v>
      </c>
      <c r="E845" s="1528" t="s">
        <v>2129</v>
      </c>
      <c r="F845" s="1528" t="s">
        <v>2129</v>
      </c>
      <c r="G845" s="1528" t="s">
        <v>2129</v>
      </c>
      <c r="H845" s="1528" t="s">
        <v>2129</v>
      </c>
      <c r="I845" s="1528" t="s">
        <v>2129</v>
      </c>
      <c r="J845" s="1528" t="s">
        <v>2129</v>
      </c>
      <c r="K845" s="1528" t="s">
        <v>2129</v>
      </c>
      <c r="L845" s="1528" t="s">
        <v>2286</v>
      </c>
      <c r="M845" s="1528">
        <v>166</v>
      </c>
      <c r="N845" s="1528">
        <v>495</v>
      </c>
      <c r="O845" s="1528"/>
      <c r="P845" s="1528">
        <v>495</v>
      </c>
      <c r="Q845" s="1528"/>
      <c r="R845" s="1528"/>
      <c r="S845" s="1528" t="s">
        <v>2129</v>
      </c>
      <c r="T845" s="1528" t="s">
        <v>2129</v>
      </c>
      <c r="U845" s="1528" t="s">
        <v>2129</v>
      </c>
      <c r="V845" s="1528" t="s">
        <v>2129</v>
      </c>
      <c r="W845" s="1528" t="s">
        <v>2129</v>
      </c>
      <c r="X845" s="1528" t="s">
        <v>2129</v>
      </c>
      <c r="Y845" s="1528" t="s">
        <v>2129</v>
      </c>
      <c r="Z845" s="1528" t="s">
        <v>2129</v>
      </c>
      <c r="AA845" s="1528" t="s">
        <v>2129</v>
      </c>
      <c r="AB845" s="1528" t="s">
        <v>2129</v>
      </c>
      <c r="AC845" s="1528" t="s">
        <v>2129</v>
      </c>
      <c r="AD845" s="1528" t="s">
        <v>2129</v>
      </c>
      <c r="AE845" s="1528" t="s">
        <v>2129</v>
      </c>
      <c r="AF845" s="1528" t="s">
        <v>2129</v>
      </c>
      <c r="AG845" s="1528" t="s">
        <v>2129</v>
      </c>
    </row>
    <row r="846" spans="1:33" ht="109.5" hidden="1" thickBot="1">
      <c r="A846" s="1530"/>
      <c r="B846" s="1532"/>
      <c r="C846" s="1530"/>
      <c r="D846" s="1409" t="s">
        <v>2772</v>
      </c>
      <c r="E846" s="1529"/>
      <c r="F846" s="1529"/>
      <c r="G846" s="1529"/>
      <c r="H846" s="1529"/>
      <c r="I846" s="1529"/>
      <c r="J846" s="1529"/>
      <c r="K846" s="1529"/>
      <c r="L846" s="1529"/>
      <c r="M846" s="1529"/>
      <c r="N846" s="1529"/>
      <c r="O846" s="1529"/>
      <c r="P846" s="1529"/>
      <c r="Q846" s="1529"/>
      <c r="R846" s="1529"/>
      <c r="S846" s="1529"/>
      <c r="T846" s="1529"/>
      <c r="U846" s="1529"/>
      <c r="V846" s="1529"/>
      <c r="W846" s="1529"/>
      <c r="X846" s="1529"/>
      <c r="Y846" s="1529"/>
      <c r="Z846" s="1529"/>
      <c r="AA846" s="1529"/>
      <c r="AB846" s="1529"/>
      <c r="AC846" s="1529"/>
      <c r="AD846" s="1529"/>
      <c r="AE846" s="1529"/>
      <c r="AF846" s="1529"/>
      <c r="AG846" s="1529"/>
    </row>
    <row r="847" spans="1:33" ht="18.75" hidden="1" thickBot="1">
      <c r="A847" s="1530"/>
      <c r="B847" s="1532"/>
      <c r="C847" s="1530"/>
      <c r="D847" s="1410" t="s">
        <v>2847</v>
      </c>
      <c r="E847" s="1528" t="s">
        <v>2129</v>
      </c>
      <c r="F847" s="1528" t="s">
        <v>2129</v>
      </c>
      <c r="G847" s="1528" t="s">
        <v>2129</v>
      </c>
      <c r="H847" s="1528" t="s">
        <v>2129</v>
      </c>
      <c r="I847" s="1528" t="s">
        <v>2129</v>
      </c>
      <c r="J847" s="1528" t="s">
        <v>2129</v>
      </c>
      <c r="K847" s="1528" t="s">
        <v>2129</v>
      </c>
      <c r="L847" s="1528" t="s">
        <v>2286</v>
      </c>
      <c r="M847" s="1528">
        <v>166</v>
      </c>
      <c r="N847" s="1528">
        <v>110</v>
      </c>
      <c r="O847" s="1528"/>
      <c r="P847" s="1528">
        <v>110</v>
      </c>
      <c r="Q847" s="1528"/>
      <c r="R847" s="1528"/>
      <c r="S847" s="1528" t="s">
        <v>2129</v>
      </c>
      <c r="T847" s="1528" t="s">
        <v>2129</v>
      </c>
      <c r="U847" s="1528" t="s">
        <v>2129</v>
      </c>
      <c r="V847" s="1528" t="s">
        <v>2129</v>
      </c>
      <c r="W847" s="1528" t="s">
        <v>2129</v>
      </c>
      <c r="X847" s="1528" t="s">
        <v>2129</v>
      </c>
      <c r="Y847" s="1528" t="s">
        <v>2129</v>
      </c>
      <c r="Z847" s="1528" t="s">
        <v>2129</v>
      </c>
      <c r="AA847" s="1528" t="s">
        <v>2129</v>
      </c>
      <c r="AB847" s="1528" t="s">
        <v>2129</v>
      </c>
      <c r="AC847" s="1528" t="s">
        <v>2129</v>
      </c>
      <c r="AD847" s="1528" t="s">
        <v>2129</v>
      </c>
      <c r="AE847" s="1528" t="s">
        <v>2129</v>
      </c>
      <c r="AF847" s="1528" t="s">
        <v>2129</v>
      </c>
      <c r="AG847" s="1528" t="s">
        <v>2129</v>
      </c>
    </row>
    <row r="848" spans="1:33" ht="93" hidden="1" thickBot="1">
      <c r="A848" s="1529"/>
      <c r="B848" s="1533"/>
      <c r="C848" s="1529"/>
      <c r="D848" s="1409" t="s">
        <v>2848</v>
      </c>
      <c r="E848" s="1529"/>
      <c r="F848" s="1529"/>
      <c r="G848" s="1529"/>
      <c r="H848" s="1529"/>
      <c r="I848" s="1529"/>
      <c r="J848" s="1529"/>
      <c r="K848" s="1529"/>
      <c r="L848" s="1529"/>
      <c r="M848" s="1529"/>
      <c r="N848" s="1529"/>
      <c r="O848" s="1529"/>
      <c r="P848" s="1529"/>
      <c r="Q848" s="1529"/>
      <c r="R848" s="1529"/>
      <c r="S848" s="1529"/>
      <c r="T848" s="1529"/>
      <c r="U848" s="1529"/>
      <c r="V848" s="1529"/>
      <c r="W848" s="1529"/>
      <c r="X848" s="1529"/>
      <c r="Y848" s="1529"/>
      <c r="Z848" s="1529"/>
      <c r="AA848" s="1529"/>
      <c r="AB848" s="1529"/>
      <c r="AC848" s="1529"/>
      <c r="AD848" s="1529"/>
      <c r="AE848" s="1529"/>
      <c r="AF848" s="1529"/>
      <c r="AG848" s="1529"/>
    </row>
    <row r="849" spans="1:33" ht="175.5" thickBot="1">
      <c r="A849" s="1528">
        <v>109</v>
      </c>
      <c r="B849" s="1531">
        <v>1.7224300000000002E+35</v>
      </c>
      <c r="C849" s="1528" t="s">
        <v>2849</v>
      </c>
      <c r="D849" s="1528" t="s">
        <v>2850</v>
      </c>
      <c r="E849" s="1528">
        <v>106269.4</v>
      </c>
      <c r="F849" s="1528"/>
      <c r="G849" s="1528">
        <v>106269.4</v>
      </c>
      <c r="H849" s="1528">
        <v>0</v>
      </c>
      <c r="I849" s="1528">
        <v>106269.4</v>
      </c>
      <c r="J849" s="1528">
        <v>0</v>
      </c>
      <c r="K849" s="1528">
        <v>0</v>
      </c>
      <c r="L849" s="1528" t="s">
        <v>2129</v>
      </c>
      <c r="M849" s="1528" t="s">
        <v>2129</v>
      </c>
      <c r="N849" s="1528" t="s">
        <v>2129</v>
      </c>
      <c r="O849" s="1528" t="s">
        <v>2129</v>
      </c>
      <c r="P849" s="1528" t="s">
        <v>2129</v>
      </c>
      <c r="Q849" s="1528" t="s">
        <v>2129</v>
      </c>
      <c r="R849" s="1528" t="s">
        <v>2129</v>
      </c>
      <c r="S849" s="1410" t="s">
        <v>2243</v>
      </c>
      <c r="T849" s="1528">
        <v>1062.69</v>
      </c>
      <c r="U849" s="1528">
        <v>5313.47</v>
      </c>
      <c r="V849" s="1528">
        <v>11.201700000000001</v>
      </c>
      <c r="W849" s="1528">
        <v>4.2019000000000002</v>
      </c>
      <c r="X849" s="1528" t="s">
        <v>2281</v>
      </c>
      <c r="Y849" s="1528" t="s">
        <v>2282</v>
      </c>
      <c r="Z849" s="1528" t="s">
        <v>2132</v>
      </c>
      <c r="AA849" s="1528"/>
      <c r="AB849" s="1528"/>
      <c r="AC849" s="1528"/>
      <c r="AD849" s="1528" t="s">
        <v>2133</v>
      </c>
      <c r="AE849" s="1410" t="s">
        <v>2645</v>
      </c>
      <c r="AF849" s="1528"/>
      <c r="AG849" s="1528" t="s">
        <v>2283</v>
      </c>
    </row>
    <row r="850" spans="1:33" ht="84.75" hidden="1" thickBot="1">
      <c r="A850" s="1530"/>
      <c r="B850" s="1532"/>
      <c r="C850" s="1530"/>
      <c r="D850" s="1529"/>
      <c r="E850" s="1529"/>
      <c r="F850" s="1529"/>
      <c r="G850" s="1529"/>
      <c r="H850" s="1529"/>
      <c r="I850" s="1529"/>
      <c r="J850" s="1529"/>
      <c r="K850" s="1529"/>
      <c r="L850" s="1529"/>
      <c r="M850" s="1529"/>
      <c r="N850" s="1529"/>
      <c r="O850" s="1529"/>
      <c r="P850" s="1529"/>
      <c r="Q850" s="1529"/>
      <c r="R850" s="1529"/>
      <c r="S850" s="1409" t="s">
        <v>2844</v>
      </c>
      <c r="T850" s="1529"/>
      <c r="U850" s="1529"/>
      <c r="V850" s="1529"/>
      <c r="W850" s="1529"/>
      <c r="X850" s="1529"/>
      <c r="Y850" s="1529"/>
      <c r="Z850" s="1529"/>
      <c r="AA850" s="1529"/>
      <c r="AB850" s="1529"/>
      <c r="AC850" s="1529"/>
      <c r="AD850" s="1529"/>
      <c r="AE850" s="1409" t="s">
        <v>2136</v>
      </c>
      <c r="AF850" s="1529"/>
      <c r="AG850" s="1529"/>
    </row>
    <row r="851" spans="1:33" ht="15.75" hidden="1" thickBot="1">
      <c r="A851" s="1530"/>
      <c r="B851" s="1532"/>
      <c r="C851" s="1530"/>
      <c r="D851" s="1410" t="s">
        <v>2851</v>
      </c>
      <c r="E851" s="1528" t="s">
        <v>2129</v>
      </c>
      <c r="F851" s="1528" t="s">
        <v>2129</v>
      </c>
      <c r="G851" s="1528" t="s">
        <v>2129</v>
      </c>
      <c r="H851" s="1528" t="s">
        <v>2129</v>
      </c>
      <c r="I851" s="1528" t="s">
        <v>2129</v>
      </c>
      <c r="J851" s="1528" t="s">
        <v>2129</v>
      </c>
      <c r="K851" s="1528" t="s">
        <v>2129</v>
      </c>
      <c r="L851" s="1528" t="s">
        <v>2286</v>
      </c>
      <c r="M851" s="1528">
        <v>166</v>
      </c>
      <c r="N851" s="1528">
        <v>150</v>
      </c>
      <c r="O851" s="1528"/>
      <c r="P851" s="1528">
        <v>150</v>
      </c>
      <c r="Q851" s="1528"/>
      <c r="R851" s="1528"/>
      <c r="S851" s="1528" t="s">
        <v>2129</v>
      </c>
      <c r="T851" s="1528" t="s">
        <v>2129</v>
      </c>
      <c r="U851" s="1528" t="s">
        <v>2129</v>
      </c>
      <c r="V851" s="1528" t="s">
        <v>2129</v>
      </c>
      <c r="W851" s="1528" t="s">
        <v>2129</v>
      </c>
      <c r="X851" s="1528" t="s">
        <v>2129</v>
      </c>
      <c r="Y851" s="1528" t="s">
        <v>2129</v>
      </c>
      <c r="Z851" s="1528" t="s">
        <v>2129</v>
      </c>
      <c r="AA851" s="1528" t="s">
        <v>2129</v>
      </c>
      <c r="AB851" s="1528" t="s">
        <v>2129</v>
      </c>
      <c r="AC851" s="1528" t="s">
        <v>2129</v>
      </c>
      <c r="AD851" s="1528" t="s">
        <v>2129</v>
      </c>
      <c r="AE851" s="1528" t="s">
        <v>2129</v>
      </c>
      <c r="AF851" s="1528" t="s">
        <v>2129</v>
      </c>
      <c r="AG851" s="1528" t="s">
        <v>2129</v>
      </c>
    </row>
    <row r="852" spans="1:33" ht="84.75" hidden="1" thickBot="1">
      <c r="A852" s="1530"/>
      <c r="B852" s="1532"/>
      <c r="C852" s="1530"/>
      <c r="D852" s="1409" t="s">
        <v>2852</v>
      </c>
      <c r="E852" s="1529"/>
      <c r="F852" s="1529"/>
      <c r="G852" s="1529"/>
      <c r="H852" s="1529"/>
      <c r="I852" s="1529"/>
      <c r="J852" s="1529"/>
      <c r="K852" s="1529"/>
      <c r="L852" s="1529"/>
      <c r="M852" s="1529"/>
      <c r="N852" s="1529"/>
      <c r="O852" s="1529"/>
      <c r="P852" s="1529"/>
      <c r="Q852" s="1529"/>
      <c r="R852" s="1529"/>
      <c r="S852" s="1529"/>
      <c r="T852" s="1529"/>
      <c r="U852" s="1529"/>
      <c r="V852" s="1529"/>
      <c r="W852" s="1529"/>
      <c r="X852" s="1529"/>
      <c r="Y852" s="1529"/>
      <c r="Z852" s="1529"/>
      <c r="AA852" s="1529"/>
      <c r="AB852" s="1529"/>
      <c r="AC852" s="1529"/>
      <c r="AD852" s="1529"/>
      <c r="AE852" s="1529"/>
      <c r="AF852" s="1529"/>
      <c r="AG852" s="1529"/>
    </row>
    <row r="853" spans="1:33" ht="15.75" hidden="1" thickBot="1">
      <c r="A853" s="1530"/>
      <c r="B853" s="1532"/>
      <c r="C853" s="1530"/>
      <c r="D853" s="1410" t="s">
        <v>2853</v>
      </c>
      <c r="E853" s="1528" t="s">
        <v>2129</v>
      </c>
      <c r="F853" s="1528" t="s">
        <v>2129</v>
      </c>
      <c r="G853" s="1528" t="s">
        <v>2129</v>
      </c>
      <c r="H853" s="1528" t="s">
        <v>2129</v>
      </c>
      <c r="I853" s="1528" t="s">
        <v>2129</v>
      </c>
      <c r="J853" s="1528" t="s">
        <v>2129</v>
      </c>
      <c r="K853" s="1528" t="s">
        <v>2129</v>
      </c>
      <c r="L853" s="1528" t="s">
        <v>2286</v>
      </c>
      <c r="M853" s="1528">
        <v>166</v>
      </c>
      <c r="N853" s="1528">
        <v>130</v>
      </c>
      <c r="O853" s="1528"/>
      <c r="P853" s="1528">
        <v>130</v>
      </c>
      <c r="Q853" s="1528"/>
      <c r="R853" s="1528"/>
      <c r="S853" s="1528" t="s">
        <v>2129</v>
      </c>
      <c r="T853" s="1528" t="s">
        <v>2129</v>
      </c>
      <c r="U853" s="1528" t="s">
        <v>2129</v>
      </c>
      <c r="V853" s="1528" t="s">
        <v>2129</v>
      </c>
      <c r="W853" s="1528" t="s">
        <v>2129</v>
      </c>
      <c r="X853" s="1528" t="s">
        <v>2129</v>
      </c>
      <c r="Y853" s="1528" t="s">
        <v>2129</v>
      </c>
      <c r="Z853" s="1528" t="s">
        <v>2129</v>
      </c>
      <c r="AA853" s="1528" t="s">
        <v>2129</v>
      </c>
      <c r="AB853" s="1528" t="s">
        <v>2129</v>
      </c>
      <c r="AC853" s="1528" t="s">
        <v>2129</v>
      </c>
      <c r="AD853" s="1528" t="s">
        <v>2129</v>
      </c>
      <c r="AE853" s="1528" t="s">
        <v>2129</v>
      </c>
      <c r="AF853" s="1528" t="s">
        <v>2129</v>
      </c>
      <c r="AG853" s="1528" t="s">
        <v>2129</v>
      </c>
    </row>
    <row r="854" spans="1:33" ht="93" hidden="1" thickBot="1">
      <c r="A854" s="1529"/>
      <c r="B854" s="1533"/>
      <c r="C854" s="1529"/>
      <c r="D854" s="1409" t="s">
        <v>2854</v>
      </c>
      <c r="E854" s="1529"/>
      <c r="F854" s="1529"/>
      <c r="G854" s="1529"/>
      <c r="H854" s="1529"/>
      <c r="I854" s="1529"/>
      <c r="J854" s="1529"/>
      <c r="K854" s="1529"/>
      <c r="L854" s="1529"/>
      <c r="M854" s="1529"/>
      <c r="N854" s="1529"/>
      <c r="O854" s="1529"/>
      <c r="P854" s="1529"/>
      <c r="Q854" s="1529"/>
      <c r="R854" s="1529"/>
      <c r="S854" s="1529"/>
      <c r="T854" s="1529"/>
      <c r="U854" s="1529"/>
      <c r="V854" s="1529"/>
      <c r="W854" s="1529"/>
      <c r="X854" s="1529"/>
      <c r="Y854" s="1529"/>
      <c r="Z854" s="1529"/>
      <c r="AA854" s="1529"/>
      <c r="AB854" s="1529"/>
      <c r="AC854" s="1529"/>
      <c r="AD854" s="1529"/>
      <c r="AE854" s="1529"/>
      <c r="AF854" s="1529"/>
      <c r="AG854" s="1529"/>
    </row>
    <row r="855" spans="1:33" ht="175.5" thickBot="1">
      <c r="A855" s="1528">
        <v>110</v>
      </c>
      <c r="B855" s="1531">
        <v>1.7224300000000002E+35</v>
      </c>
      <c r="C855" s="1528" t="s">
        <v>2855</v>
      </c>
      <c r="D855" s="1528" t="s">
        <v>2856</v>
      </c>
      <c r="E855" s="1528">
        <v>229383</v>
      </c>
      <c r="F855" s="1528"/>
      <c r="G855" s="1528">
        <v>229383</v>
      </c>
      <c r="H855" s="1528">
        <v>0</v>
      </c>
      <c r="I855" s="1528">
        <v>229383</v>
      </c>
      <c r="J855" s="1528">
        <v>0</v>
      </c>
      <c r="K855" s="1528">
        <v>0</v>
      </c>
      <c r="L855" s="1528" t="s">
        <v>2129</v>
      </c>
      <c r="M855" s="1528" t="s">
        <v>2129</v>
      </c>
      <c r="N855" s="1528" t="s">
        <v>2129</v>
      </c>
      <c r="O855" s="1528" t="s">
        <v>2129</v>
      </c>
      <c r="P855" s="1528" t="s">
        <v>2129</v>
      </c>
      <c r="Q855" s="1528" t="s">
        <v>2129</v>
      </c>
      <c r="R855" s="1528" t="s">
        <v>2129</v>
      </c>
      <c r="S855" s="1410" t="s">
        <v>2243</v>
      </c>
      <c r="T855" s="1528">
        <v>2293.83</v>
      </c>
      <c r="U855" s="1528">
        <v>11469.15</v>
      </c>
      <c r="V855" s="1528">
        <v>11.201700000000001</v>
      </c>
      <c r="W855" s="1528">
        <v>4.2019000000000002</v>
      </c>
      <c r="X855" s="1528" t="s">
        <v>2281</v>
      </c>
      <c r="Y855" s="1528" t="s">
        <v>2282</v>
      </c>
      <c r="Z855" s="1528" t="s">
        <v>2132</v>
      </c>
      <c r="AA855" s="1410" t="s">
        <v>2346</v>
      </c>
      <c r="AB855" s="1528"/>
      <c r="AC855" s="1528"/>
      <c r="AD855" s="1528" t="s">
        <v>2133</v>
      </c>
      <c r="AE855" s="1410" t="s">
        <v>2645</v>
      </c>
      <c r="AF855" s="1528"/>
      <c r="AG855" s="1528" t="s">
        <v>2283</v>
      </c>
    </row>
    <row r="856" spans="1:33" ht="84.75" hidden="1" thickBot="1">
      <c r="A856" s="1530"/>
      <c r="B856" s="1532"/>
      <c r="C856" s="1530"/>
      <c r="D856" s="1530"/>
      <c r="E856" s="1530"/>
      <c r="F856" s="1530"/>
      <c r="G856" s="1530"/>
      <c r="H856" s="1530"/>
      <c r="I856" s="1530"/>
      <c r="J856" s="1530"/>
      <c r="K856" s="1530"/>
      <c r="L856" s="1530"/>
      <c r="M856" s="1530"/>
      <c r="N856" s="1530"/>
      <c r="O856" s="1530"/>
      <c r="P856" s="1530"/>
      <c r="Q856" s="1530"/>
      <c r="R856" s="1530"/>
      <c r="S856" s="1410" t="s">
        <v>2857</v>
      </c>
      <c r="T856" s="1530"/>
      <c r="U856" s="1530"/>
      <c r="V856" s="1530"/>
      <c r="W856" s="1530"/>
      <c r="X856" s="1530"/>
      <c r="Y856" s="1530"/>
      <c r="Z856" s="1530"/>
      <c r="AA856" s="1410" t="s">
        <v>2858</v>
      </c>
      <c r="AB856" s="1530"/>
      <c r="AC856" s="1530"/>
      <c r="AD856" s="1530"/>
      <c r="AE856" s="1410" t="s">
        <v>2136</v>
      </c>
      <c r="AF856" s="1530"/>
      <c r="AG856" s="1530"/>
    </row>
    <row r="857" spans="1:33" ht="15.75" hidden="1" thickBot="1">
      <c r="A857" s="1530"/>
      <c r="B857" s="1532"/>
      <c r="C857" s="1530"/>
      <c r="D857" s="1529"/>
      <c r="E857" s="1529"/>
      <c r="F857" s="1529"/>
      <c r="G857" s="1529"/>
      <c r="H857" s="1529"/>
      <c r="I857" s="1529"/>
      <c r="J857" s="1529"/>
      <c r="K857" s="1529"/>
      <c r="L857" s="1529"/>
      <c r="M857" s="1529"/>
      <c r="N857" s="1529"/>
      <c r="O857" s="1529"/>
      <c r="P857" s="1529"/>
      <c r="Q857" s="1529"/>
      <c r="R857" s="1529"/>
      <c r="S857" s="1409"/>
      <c r="T857" s="1529"/>
      <c r="U857" s="1529"/>
      <c r="V857" s="1529"/>
      <c r="W857" s="1529"/>
      <c r="X857" s="1529"/>
      <c r="Y857" s="1529"/>
      <c r="Z857" s="1529"/>
      <c r="AA857" s="1409"/>
      <c r="AB857" s="1529"/>
      <c r="AC857" s="1529"/>
      <c r="AD857" s="1529"/>
      <c r="AE857" s="1409"/>
      <c r="AF857" s="1529"/>
      <c r="AG857" s="1529"/>
    </row>
    <row r="858" spans="1:33" ht="27" hidden="1" thickBot="1">
      <c r="A858" s="1530"/>
      <c r="B858" s="1532"/>
      <c r="C858" s="1530"/>
      <c r="D858" s="1410" t="s">
        <v>2856</v>
      </c>
      <c r="E858" s="1528" t="s">
        <v>2129</v>
      </c>
      <c r="F858" s="1528" t="s">
        <v>2129</v>
      </c>
      <c r="G858" s="1528" t="s">
        <v>2129</v>
      </c>
      <c r="H858" s="1528" t="s">
        <v>2129</v>
      </c>
      <c r="I858" s="1528" t="s">
        <v>2129</v>
      </c>
      <c r="J858" s="1528" t="s">
        <v>2129</v>
      </c>
      <c r="K858" s="1528" t="s">
        <v>2129</v>
      </c>
      <c r="L858" s="1528" t="s">
        <v>2286</v>
      </c>
      <c r="M858" s="1528">
        <v>166</v>
      </c>
      <c r="N858" s="1528">
        <v>660</v>
      </c>
      <c r="O858" s="1528"/>
      <c r="P858" s="1528">
        <v>660</v>
      </c>
      <c r="Q858" s="1528"/>
      <c r="R858" s="1528"/>
      <c r="S858" s="1528" t="s">
        <v>2129</v>
      </c>
      <c r="T858" s="1528" t="s">
        <v>2129</v>
      </c>
      <c r="U858" s="1528" t="s">
        <v>2129</v>
      </c>
      <c r="V858" s="1528" t="s">
        <v>2129</v>
      </c>
      <c r="W858" s="1528" t="s">
        <v>2129</v>
      </c>
      <c r="X858" s="1528" t="s">
        <v>2129</v>
      </c>
      <c r="Y858" s="1528" t="s">
        <v>2129</v>
      </c>
      <c r="Z858" s="1528" t="s">
        <v>2129</v>
      </c>
      <c r="AA858" s="1528" t="s">
        <v>2129</v>
      </c>
      <c r="AB858" s="1528" t="s">
        <v>2129</v>
      </c>
      <c r="AC858" s="1528" t="s">
        <v>2129</v>
      </c>
      <c r="AD858" s="1528" t="s">
        <v>2129</v>
      </c>
      <c r="AE858" s="1528" t="s">
        <v>2129</v>
      </c>
      <c r="AF858" s="1528" t="s">
        <v>2129</v>
      </c>
      <c r="AG858" s="1528" t="s">
        <v>2129</v>
      </c>
    </row>
    <row r="859" spans="1:33" ht="93" hidden="1" thickBot="1">
      <c r="A859" s="1529"/>
      <c r="B859" s="1533"/>
      <c r="C859" s="1529"/>
      <c r="D859" s="1409" t="s">
        <v>2859</v>
      </c>
      <c r="E859" s="1529"/>
      <c r="F859" s="1529"/>
      <c r="G859" s="1529"/>
      <c r="H859" s="1529"/>
      <c r="I859" s="1529"/>
      <c r="J859" s="1529"/>
      <c r="K859" s="1529"/>
      <c r="L859" s="1529"/>
      <c r="M859" s="1529"/>
      <c r="N859" s="1529"/>
      <c r="O859" s="1529"/>
      <c r="P859" s="1529"/>
      <c r="Q859" s="1529"/>
      <c r="R859" s="1529"/>
      <c r="S859" s="1529"/>
      <c r="T859" s="1529"/>
      <c r="U859" s="1529"/>
      <c r="V859" s="1529"/>
      <c r="W859" s="1529"/>
      <c r="X859" s="1529"/>
      <c r="Y859" s="1529"/>
      <c r="Z859" s="1529"/>
      <c r="AA859" s="1529"/>
      <c r="AB859" s="1529"/>
      <c r="AC859" s="1529"/>
      <c r="AD859" s="1529"/>
      <c r="AE859" s="1529"/>
      <c r="AF859" s="1529"/>
      <c r="AG859" s="1529"/>
    </row>
    <row r="860" spans="1:33" ht="175.5" thickBot="1">
      <c r="A860" s="1528">
        <v>111</v>
      </c>
      <c r="B860" s="1531">
        <v>1.7224300000000002E+35</v>
      </c>
      <c r="C860" s="1528" t="s">
        <v>2860</v>
      </c>
      <c r="D860" s="1528" t="s">
        <v>2359</v>
      </c>
      <c r="E860" s="1528">
        <v>780749.6</v>
      </c>
      <c r="F860" s="1528"/>
      <c r="G860" s="1528">
        <v>780749.6</v>
      </c>
      <c r="H860" s="1528">
        <v>0</v>
      </c>
      <c r="I860" s="1528">
        <v>780749.6</v>
      </c>
      <c r="J860" s="1528">
        <v>0</v>
      </c>
      <c r="K860" s="1528">
        <v>0</v>
      </c>
      <c r="L860" s="1528" t="s">
        <v>2129</v>
      </c>
      <c r="M860" s="1528" t="s">
        <v>2129</v>
      </c>
      <c r="N860" s="1528" t="s">
        <v>2129</v>
      </c>
      <c r="O860" s="1528" t="s">
        <v>2129</v>
      </c>
      <c r="P860" s="1528" t="s">
        <v>2129</v>
      </c>
      <c r="Q860" s="1528" t="s">
        <v>2129</v>
      </c>
      <c r="R860" s="1528" t="s">
        <v>2129</v>
      </c>
      <c r="S860" s="1410" t="s">
        <v>2149</v>
      </c>
      <c r="T860" s="1528">
        <v>7807.5</v>
      </c>
      <c r="U860" s="1528">
        <v>39037.480000000003</v>
      </c>
      <c r="V860" s="1528">
        <v>11.201700000000001</v>
      </c>
      <c r="W860" s="1528">
        <v>4.2019000000000002</v>
      </c>
      <c r="X860" s="1528" t="s">
        <v>2281</v>
      </c>
      <c r="Y860" s="1528" t="s">
        <v>2132</v>
      </c>
      <c r="Z860" s="1528" t="s">
        <v>2282</v>
      </c>
      <c r="AA860" s="1410" t="s">
        <v>2346</v>
      </c>
      <c r="AB860" s="1528"/>
      <c r="AC860" s="1528"/>
      <c r="AD860" s="1528" t="s">
        <v>2133</v>
      </c>
      <c r="AE860" s="1410" t="s">
        <v>2645</v>
      </c>
      <c r="AF860" s="1528"/>
      <c r="AG860" s="1528" t="s">
        <v>2283</v>
      </c>
    </row>
    <row r="861" spans="1:33" ht="84.75" hidden="1" thickBot="1">
      <c r="A861" s="1530"/>
      <c r="B861" s="1532"/>
      <c r="C861" s="1530"/>
      <c r="D861" s="1530"/>
      <c r="E861" s="1530"/>
      <c r="F861" s="1530"/>
      <c r="G861" s="1530"/>
      <c r="H861" s="1530"/>
      <c r="I861" s="1530"/>
      <c r="J861" s="1530"/>
      <c r="K861" s="1530"/>
      <c r="L861" s="1530"/>
      <c r="M861" s="1530"/>
      <c r="N861" s="1530"/>
      <c r="O861" s="1530"/>
      <c r="P861" s="1530"/>
      <c r="Q861" s="1530"/>
      <c r="R861" s="1530"/>
      <c r="S861" s="1410" t="s">
        <v>2844</v>
      </c>
      <c r="T861" s="1530"/>
      <c r="U861" s="1530"/>
      <c r="V861" s="1530"/>
      <c r="W861" s="1530"/>
      <c r="X861" s="1530"/>
      <c r="Y861" s="1530"/>
      <c r="Z861" s="1530"/>
      <c r="AA861" s="1410" t="s">
        <v>2861</v>
      </c>
      <c r="AB861" s="1530"/>
      <c r="AC861" s="1530"/>
      <c r="AD861" s="1530"/>
      <c r="AE861" s="1410" t="s">
        <v>2136</v>
      </c>
      <c r="AF861" s="1530"/>
      <c r="AG861" s="1530"/>
    </row>
    <row r="862" spans="1:33" ht="15.75" hidden="1" thickBot="1">
      <c r="A862" s="1530"/>
      <c r="B862" s="1532"/>
      <c r="C862" s="1530"/>
      <c r="D862" s="1529"/>
      <c r="E862" s="1529"/>
      <c r="F862" s="1529"/>
      <c r="G862" s="1529"/>
      <c r="H862" s="1529"/>
      <c r="I862" s="1529"/>
      <c r="J862" s="1529"/>
      <c r="K862" s="1529"/>
      <c r="L862" s="1529"/>
      <c r="M862" s="1529"/>
      <c r="N862" s="1529"/>
      <c r="O862" s="1529"/>
      <c r="P862" s="1529"/>
      <c r="Q862" s="1529"/>
      <c r="R862" s="1529"/>
      <c r="S862" s="1409"/>
      <c r="T862" s="1529"/>
      <c r="U862" s="1529"/>
      <c r="V862" s="1529"/>
      <c r="W862" s="1529"/>
      <c r="X862" s="1529"/>
      <c r="Y862" s="1529"/>
      <c r="Z862" s="1529"/>
      <c r="AA862" s="1409"/>
      <c r="AB862" s="1529"/>
      <c r="AC862" s="1529"/>
      <c r="AD862" s="1529"/>
      <c r="AE862" s="1409"/>
      <c r="AF862" s="1529"/>
      <c r="AG862" s="1529"/>
    </row>
    <row r="863" spans="1:33" ht="18.75" hidden="1" thickBot="1">
      <c r="A863" s="1530"/>
      <c r="B863" s="1532"/>
      <c r="C863" s="1530"/>
      <c r="D863" s="1410" t="s">
        <v>2658</v>
      </c>
      <c r="E863" s="1528" t="s">
        <v>2129</v>
      </c>
      <c r="F863" s="1528" t="s">
        <v>2129</v>
      </c>
      <c r="G863" s="1528" t="s">
        <v>2129</v>
      </c>
      <c r="H863" s="1528" t="s">
        <v>2129</v>
      </c>
      <c r="I863" s="1528" t="s">
        <v>2129</v>
      </c>
      <c r="J863" s="1528" t="s">
        <v>2129</v>
      </c>
      <c r="K863" s="1528" t="s">
        <v>2129</v>
      </c>
      <c r="L863" s="1528" t="s">
        <v>2286</v>
      </c>
      <c r="M863" s="1528">
        <v>166</v>
      </c>
      <c r="N863" s="1528">
        <v>1000</v>
      </c>
      <c r="O863" s="1528"/>
      <c r="P863" s="1528">
        <v>1000</v>
      </c>
      <c r="Q863" s="1528"/>
      <c r="R863" s="1528"/>
      <c r="S863" s="1528" t="s">
        <v>2129</v>
      </c>
      <c r="T863" s="1528" t="s">
        <v>2129</v>
      </c>
      <c r="U863" s="1528" t="s">
        <v>2129</v>
      </c>
      <c r="V863" s="1528" t="s">
        <v>2129</v>
      </c>
      <c r="W863" s="1528" t="s">
        <v>2129</v>
      </c>
      <c r="X863" s="1528" t="s">
        <v>2129</v>
      </c>
      <c r="Y863" s="1528" t="s">
        <v>2129</v>
      </c>
      <c r="Z863" s="1528" t="s">
        <v>2129</v>
      </c>
      <c r="AA863" s="1528" t="s">
        <v>2129</v>
      </c>
      <c r="AB863" s="1528" t="s">
        <v>2129</v>
      </c>
      <c r="AC863" s="1528" t="s">
        <v>2129</v>
      </c>
      <c r="AD863" s="1528" t="s">
        <v>2129</v>
      </c>
      <c r="AE863" s="1528" t="s">
        <v>2129</v>
      </c>
      <c r="AF863" s="1528" t="s">
        <v>2129</v>
      </c>
      <c r="AG863" s="1528" t="s">
        <v>2129</v>
      </c>
    </row>
    <row r="864" spans="1:33" ht="101.25" hidden="1" thickBot="1">
      <c r="A864" s="1530"/>
      <c r="B864" s="1532"/>
      <c r="C864" s="1530"/>
      <c r="D864" s="1409" t="s">
        <v>2862</v>
      </c>
      <c r="E864" s="1529"/>
      <c r="F864" s="1529"/>
      <c r="G864" s="1529"/>
      <c r="H864" s="1529"/>
      <c r="I864" s="1529"/>
      <c r="J864" s="1529"/>
      <c r="K864" s="1529"/>
      <c r="L864" s="1529"/>
      <c r="M864" s="1529"/>
      <c r="N864" s="1529"/>
      <c r="O864" s="1529"/>
      <c r="P864" s="1529"/>
      <c r="Q864" s="1529"/>
      <c r="R864" s="1529"/>
      <c r="S864" s="1529"/>
      <c r="T864" s="1529"/>
      <c r="U864" s="1529"/>
      <c r="V864" s="1529"/>
      <c r="W864" s="1529"/>
      <c r="X864" s="1529"/>
      <c r="Y864" s="1529"/>
      <c r="Z864" s="1529"/>
      <c r="AA864" s="1529"/>
      <c r="AB864" s="1529"/>
      <c r="AC864" s="1529"/>
      <c r="AD864" s="1529"/>
      <c r="AE864" s="1529"/>
      <c r="AF864" s="1529"/>
      <c r="AG864" s="1529"/>
    </row>
    <row r="865" spans="1:33" ht="35.25" hidden="1" thickBot="1">
      <c r="A865" s="1530"/>
      <c r="B865" s="1532"/>
      <c r="C865" s="1530"/>
      <c r="D865" s="1410" t="s">
        <v>2660</v>
      </c>
      <c r="E865" s="1528" t="s">
        <v>2129</v>
      </c>
      <c r="F865" s="1528" t="s">
        <v>2129</v>
      </c>
      <c r="G865" s="1528" t="s">
        <v>2129</v>
      </c>
      <c r="H865" s="1528" t="s">
        <v>2129</v>
      </c>
      <c r="I865" s="1528" t="s">
        <v>2129</v>
      </c>
      <c r="J865" s="1528" t="s">
        <v>2129</v>
      </c>
      <c r="K865" s="1528" t="s">
        <v>2129</v>
      </c>
      <c r="L865" s="1528" t="s">
        <v>2286</v>
      </c>
      <c r="M865" s="1528">
        <v>166</v>
      </c>
      <c r="N865" s="1528">
        <v>1040</v>
      </c>
      <c r="O865" s="1528"/>
      <c r="P865" s="1528">
        <v>1040</v>
      </c>
      <c r="Q865" s="1528"/>
      <c r="R865" s="1528"/>
      <c r="S865" s="1528" t="s">
        <v>2129</v>
      </c>
      <c r="T865" s="1528" t="s">
        <v>2129</v>
      </c>
      <c r="U865" s="1528" t="s">
        <v>2129</v>
      </c>
      <c r="V865" s="1528" t="s">
        <v>2129</v>
      </c>
      <c r="W865" s="1528" t="s">
        <v>2129</v>
      </c>
      <c r="X865" s="1528" t="s">
        <v>2129</v>
      </c>
      <c r="Y865" s="1528" t="s">
        <v>2129</v>
      </c>
      <c r="Z865" s="1528" t="s">
        <v>2129</v>
      </c>
      <c r="AA865" s="1528" t="s">
        <v>2129</v>
      </c>
      <c r="AB865" s="1528" t="s">
        <v>2129</v>
      </c>
      <c r="AC865" s="1528" t="s">
        <v>2129</v>
      </c>
      <c r="AD865" s="1528" t="s">
        <v>2129</v>
      </c>
      <c r="AE865" s="1528" t="s">
        <v>2129</v>
      </c>
      <c r="AF865" s="1528" t="s">
        <v>2129</v>
      </c>
      <c r="AG865" s="1528" t="s">
        <v>2129</v>
      </c>
    </row>
    <row r="866" spans="1:33" ht="109.5" hidden="1" thickBot="1">
      <c r="A866" s="1529"/>
      <c r="B866" s="1533"/>
      <c r="C866" s="1529"/>
      <c r="D866" s="1409" t="s">
        <v>2661</v>
      </c>
      <c r="E866" s="1529"/>
      <c r="F866" s="1529"/>
      <c r="G866" s="1529"/>
      <c r="H866" s="1529"/>
      <c r="I866" s="1529"/>
      <c r="J866" s="1529"/>
      <c r="K866" s="1529"/>
      <c r="L866" s="1529"/>
      <c r="M866" s="1529"/>
      <c r="N866" s="1529"/>
      <c r="O866" s="1529"/>
      <c r="P866" s="1529"/>
      <c r="Q866" s="1529"/>
      <c r="R866" s="1529"/>
      <c r="S866" s="1529"/>
      <c r="T866" s="1529"/>
      <c r="U866" s="1529"/>
      <c r="V866" s="1529"/>
      <c r="W866" s="1529"/>
      <c r="X866" s="1529"/>
      <c r="Y866" s="1529"/>
      <c r="Z866" s="1529"/>
      <c r="AA866" s="1529"/>
      <c r="AB866" s="1529"/>
      <c r="AC866" s="1529"/>
      <c r="AD866" s="1529"/>
      <c r="AE866" s="1529"/>
      <c r="AF866" s="1529"/>
      <c r="AG866" s="1529"/>
    </row>
    <row r="867" spans="1:33" ht="175.5" thickBot="1">
      <c r="A867" s="1528">
        <v>112</v>
      </c>
      <c r="B867" s="1531">
        <v>1.7224300000000002E+35</v>
      </c>
      <c r="C867" s="1528" t="s">
        <v>2863</v>
      </c>
      <c r="D867" s="1528" t="s">
        <v>2864</v>
      </c>
      <c r="E867" s="1528">
        <v>159212.4</v>
      </c>
      <c r="F867" s="1528"/>
      <c r="G867" s="1528">
        <v>159212.4</v>
      </c>
      <c r="H867" s="1528">
        <v>0</v>
      </c>
      <c r="I867" s="1528">
        <v>159212.4</v>
      </c>
      <c r="J867" s="1528">
        <v>0</v>
      </c>
      <c r="K867" s="1528">
        <v>0</v>
      </c>
      <c r="L867" s="1528" t="s">
        <v>2129</v>
      </c>
      <c r="M867" s="1528" t="s">
        <v>2129</v>
      </c>
      <c r="N867" s="1528" t="s">
        <v>2129</v>
      </c>
      <c r="O867" s="1528" t="s">
        <v>2129</v>
      </c>
      <c r="P867" s="1528" t="s">
        <v>2129</v>
      </c>
      <c r="Q867" s="1528" t="s">
        <v>2129</v>
      </c>
      <c r="R867" s="1528" t="s">
        <v>2129</v>
      </c>
      <c r="S867" s="1410" t="s">
        <v>2149</v>
      </c>
      <c r="T867" s="1528">
        <v>1592.12</v>
      </c>
      <c r="U867" s="1528">
        <v>7960.62</v>
      </c>
      <c r="V867" s="1528">
        <v>11.201700000000001</v>
      </c>
      <c r="W867" s="1528">
        <v>4.2019000000000002</v>
      </c>
      <c r="X867" s="1528" t="s">
        <v>2281</v>
      </c>
      <c r="Y867" s="1528" t="s">
        <v>2132</v>
      </c>
      <c r="Z867" s="1528" t="s">
        <v>2282</v>
      </c>
      <c r="AA867" s="1410" t="s">
        <v>2346</v>
      </c>
      <c r="AB867" s="1528"/>
      <c r="AC867" s="1528"/>
      <c r="AD867" s="1528" t="s">
        <v>2133</v>
      </c>
      <c r="AE867" s="1410" t="s">
        <v>2645</v>
      </c>
      <c r="AF867" s="1528"/>
      <c r="AG867" s="1528" t="s">
        <v>2283</v>
      </c>
    </row>
    <row r="868" spans="1:33" ht="84.75" hidden="1" thickBot="1">
      <c r="A868" s="1530"/>
      <c r="B868" s="1532"/>
      <c r="C868" s="1530"/>
      <c r="D868" s="1530"/>
      <c r="E868" s="1530"/>
      <c r="F868" s="1530"/>
      <c r="G868" s="1530"/>
      <c r="H868" s="1530"/>
      <c r="I868" s="1530"/>
      <c r="J868" s="1530"/>
      <c r="K868" s="1530"/>
      <c r="L868" s="1530"/>
      <c r="M868" s="1530"/>
      <c r="N868" s="1530"/>
      <c r="O868" s="1530"/>
      <c r="P868" s="1530"/>
      <c r="Q868" s="1530"/>
      <c r="R868" s="1530"/>
      <c r="S868" s="1410" t="s">
        <v>2844</v>
      </c>
      <c r="T868" s="1530"/>
      <c r="U868" s="1530"/>
      <c r="V868" s="1530"/>
      <c r="W868" s="1530"/>
      <c r="X868" s="1530"/>
      <c r="Y868" s="1530"/>
      <c r="Z868" s="1530"/>
      <c r="AA868" s="1410" t="s">
        <v>2865</v>
      </c>
      <c r="AB868" s="1530"/>
      <c r="AC868" s="1530"/>
      <c r="AD868" s="1530"/>
      <c r="AE868" s="1410" t="s">
        <v>2136</v>
      </c>
      <c r="AF868" s="1530"/>
      <c r="AG868" s="1530"/>
    </row>
    <row r="869" spans="1:33" ht="15.75" hidden="1" thickBot="1">
      <c r="A869" s="1530"/>
      <c r="B869" s="1532"/>
      <c r="C869" s="1530"/>
      <c r="D869" s="1529"/>
      <c r="E869" s="1529"/>
      <c r="F869" s="1529"/>
      <c r="G869" s="1529"/>
      <c r="H869" s="1529"/>
      <c r="I869" s="1529"/>
      <c r="J869" s="1529"/>
      <c r="K869" s="1529"/>
      <c r="L869" s="1529"/>
      <c r="M869" s="1529"/>
      <c r="N869" s="1529"/>
      <c r="O869" s="1529"/>
      <c r="P869" s="1529"/>
      <c r="Q869" s="1529"/>
      <c r="R869" s="1529"/>
      <c r="S869" s="1409"/>
      <c r="T869" s="1529"/>
      <c r="U869" s="1529"/>
      <c r="V869" s="1529"/>
      <c r="W869" s="1529"/>
      <c r="X869" s="1529"/>
      <c r="Y869" s="1529"/>
      <c r="Z869" s="1529"/>
      <c r="AA869" s="1409"/>
      <c r="AB869" s="1529"/>
      <c r="AC869" s="1529"/>
      <c r="AD869" s="1529"/>
      <c r="AE869" s="1409"/>
      <c r="AF869" s="1529"/>
      <c r="AG869" s="1529"/>
    </row>
    <row r="870" spans="1:33" ht="18.75" hidden="1" thickBot="1">
      <c r="A870" s="1530"/>
      <c r="B870" s="1532"/>
      <c r="C870" s="1530"/>
      <c r="D870" s="1410" t="s">
        <v>2665</v>
      </c>
      <c r="E870" s="1528" t="s">
        <v>2129</v>
      </c>
      <c r="F870" s="1528" t="s">
        <v>2129</v>
      </c>
      <c r="G870" s="1528" t="s">
        <v>2129</v>
      </c>
      <c r="H870" s="1528" t="s">
        <v>2129</v>
      </c>
      <c r="I870" s="1528" t="s">
        <v>2129</v>
      </c>
      <c r="J870" s="1528" t="s">
        <v>2129</v>
      </c>
      <c r="K870" s="1528" t="s">
        <v>2129</v>
      </c>
      <c r="L870" s="1528" t="s">
        <v>2286</v>
      </c>
      <c r="M870" s="1528">
        <v>166</v>
      </c>
      <c r="N870" s="1528">
        <v>760</v>
      </c>
      <c r="O870" s="1528"/>
      <c r="P870" s="1528">
        <v>760</v>
      </c>
      <c r="Q870" s="1528"/>
      <c r="R870" s="1528"/>
      <c r="S870" s="1528" t="s">
        <v>2129</v>
      </c>
      <c r="T870" s="1528" t="s">
        <v>2129</v>
      </c>
      <c r="U870" s="1528" t="s">
        <v>2129</v>
      </c>
      <c r="V870" s="1528" t="s">
        <v>2129</v>
      </c>
      <c r="W870" s="1528" t="s">
        <v>2129</v>
      </c>
      <c r="X870" s="1528" t="s">
        <v>2129</v>
      </c>
      <c r="Y870" s="1528" t="s">
        <v>2129</v>
      </c>
      <c r="Z870" s="1528" t="s">
        <v>2129</v>
      </c>
      <c r="AA870" s="1528" t="s">
        <v>2129</v>
      </c>
      <c r="AB870" s="1528" t="s">
        <v>2129</v>
      </c>
      <c r="AC870" s="1528" t="s">
        <v>2129</v>
      </c>
      <c r="AD870" s="1528" t="s">
        <v>2129</v>
      </c>
      <c r="AE870" s="1528" t="s">
        <v>2129</v>
      </c>
      <c r="AF870" s="1528" t="s">
        <v>2129</v>
      </c>
      <c r="AG870" s="1528" t="s">
        <v>2129</v>
      </c>
    </row>
    <row r="871" spans="1:33" ht="117.75" hidden="1" thickBot="1">
      <c r="A871" s="1529"/>
      <c r="B871" s="1533"/>
      <c r="C871" s="1529"/>
      <c r="D871" s="1409" t="s">
        <v>2866</v>
      </c>
      <c r="E871" s="1529"/>
      <c r="F871" s="1529"/>
      <c r="G871" s="1529"/>
      <c r="H871" s="1529"/>
      <c r="I871" s="1529"/>
      <c r="J871" s="1529"/>
      <c r="K871" s="1529"/>
      <c r="L871" s="1529"/>
      <c r="M871" s="1529"/>
      <c r="N871" s="1529"/>
      <c r="O871" s="1529"/>
      <c r="P871" s="1529"/>
      <c r="Q871" s="1529"/>
      <c r="R871" s="1529"/>
      <c r="S871" s="1529"/>
      <c r="T871" s="1529"/>
      <c r="U871" s="1529"/>
      <c r="V871" s="1529"/>
      <c r="W871" s="1529"/>
      <c r="X871" s="1529"/>
      <c r="Y871" s="1529"/>
      <c r="Z871" s="1529"/>
      <c r="AA871" s="1529"/>
      <c r="AB871" s="1529"/>
      <c r="AC871" s="1529"/>
      <c r="AD871" s="1529"/>
      <c r="AE871" s="1529"/>
      <c r="AF871" s="1529"/>
      <c r="AG871" s="1529"/>
    </row>
    <row r="872" spans="1:33" ht="175.5" thickBot="1">
      <c r="A872" s="1528">
        <v>113</v>
      </c>
      <c r="B872" s="1531">
        <v>1.7224300000000002E+35</v>
      </c>
      <c r="C872" s="1528" t="s">
        <v>2672</v>
      </c>
      <c r="D872" s="1528" t="s">
        <v>2867</v>
      </c>
      <c r="E872" s="1528">
        <v>151963.32</v>
      </c>
      <c r="F872" s="1528"/>
      <c r="G872" s="1528">
        <v>151963.32</v>
      </c>
      <c r="H872" s="1528">
        <v>0</v>
      </c>
      <c r="I872" s="1528">
        <v>151963.32</v>
      </c>
      <c r="J872" s="1528">
        <v>0</v>
      </c>
      <c r="K872" s="1528">
        <v>0</v>
      </c>
      <c r="L872" s="1528" t="s">
        <v>2129</v>
      </c>
      <c r="M872" s="1528" t="s">
        <v>2129</v>
      </c>
      <c r="N872" s="1528" t="s">
        <v>2129</v>
      </c>
      <c r="O872" s="1528" t="s">
        <v>2129</v>
      </c>
      <c r="P872" s="1528" t="s">
        <v>2129</v>
      </c>
      <c r="Q872" s="1528" t="s">
        <v>2129</v>
      </c>
      <c r="R872" s="1528" t="s">
        <v>2129</v>
      </c>
      <c r="S872" s="1410" t="s">
        <v>2169</v>
      </c>
      <c r="T872" s="1528">
        <v>1519.63</v>
      </c>
      <c r="U872" s="1528">
        <v>7598.17</v>
      </c>
      <c r="V872" s="1528">
        <v>11.201700000000001</v>
      </c>
      <c r="W872" s="1528">
        <v>4.2019000000000002</v>
      </c>
      <c r="X872" s="1528" t="s">
        <v>2281</v>
      </c>
      <c r="Y872" s="1528" t="s">
        <v>2132</v>
      </c>
      <c r="Z872" s="1528" t="s">
        <v>2282</v>
      </c>
      <c r="AA872" s="1410" t="s">
        <v>2346</v>
      </c>
      <c r="AB872" s="1528"/>
      <c r="AC872" s="1528"/>
      <c r="AD872" s="1528" t="s">
        <v>2133</v>
      </c>
      <c r="AE872" s="1410" t="s">
        <v>2645</v>
      </c>
      <c r="AF872" s="1528"/>
      <c r="AG872" s="1528"/>
    </row>
    <row r="873" spans="1:33" ht="84.75" hidden="1" thickBot="1">
      <c r="A873" s="1530"/>
      <c r="B873" s="1532"/>
      <c r="C873" s="1530"/>
      <c r="D873" s="1530"/>
      <c r="E873" s="1530"/>
      <c r="F873" s="1530"/>
      <c r="G873" s="1530"/>
      <c r="H873" s="1530"/>
      <c r="I873" s="1530"/>
      <c r="J873" s="1530"/>
      <c r="K873" s="1530"/>
      <c r="L873" s="1530"/>
      <c r="M873" s="1530"/>
      <c r="N873" s="1530"/>
      <c r="O873" s="1530"/>
      <c r="P873" s="1530"/>
      <c r="Q873" s="1530"/>
      <c r="R873" s="1530"/>
      <c r="S873" s="1410" t="s">
        <v>2844</v>
      </c>
      <c r="T873" s="1530"/>
      <c r="U873" s="1530"/>
      <c r="V873" s="1530"/>
      <c r="W873" s="1530"/>
      <c r="X873" s="1530"/>
      <c r="Y873" s="1530"/>
      <c r="Z873" s="1530"/>
      <c r="AA873" s="1410" t="s">
        <v>2868</v>
      </c>
      <c r="AB873" s="1530"/>
      <c r="AC873" s="1530"/>
      <c r="AD873" s="1530"/>
      <c r="AE873" s="1410" t="s">
        <v>2136</v>
      </c>
      <c r="AF873" s="1530"/>
      <c r="AG873" s="1530"/>
    </row>
    <row r="874" spans="1:33" ht="15.75" hidden="1" thickBot="1">
      <c r="A874" s="1530"/>
      <c r="B874" s="1532"/>
      <c r="C874" s="1530"/>
      <c r="D874" s="1529"/>
      <c r="E874" s="1529"/>
      <c r="F874" s="1529"/>
      <c r="G874" s="1529"/>
      <c r="H874" s="1529"/>
      <c r="I874" s="1529"/>
      <c r="J874" s="1529"/>
      <c r="K874" s="1529"/>
      <c r="L874" s="1529"/>
      <c r="M874" s="1529"/>
      <c r="N874" s="1529"/>
      <c r="O874" s="1529"/>
      <c r="P874" s="1529"/>
      <c r="Q874" s="1529"/>
      <c r="R874" s="1529"/>
      <c r="S874" s="1409"/>
      <c r="T874" s="1529"/>
      <c r="U874" s="1529"/>
      <c r="V874" s="1529"/>
      <c r="W874" s="1529"/>
      <c r="X874" s="1529"/>
      <c r="Y874" s="1529"/>
      <c r="Z874" s="1529"/>
      <c r="AA874" s="1409"/>
      <c r="AB874" s="1529"/>
      <c r="AC874" s="1529"/>
      <c r="AD874" s="1529"/>
      <c r="AE874" s="1409"/>
      <c r="AF874" s="1529"/>
      <c r="AG874" s="1529"/>
    </row>
    <row r="875" spans="1:33" ht="27" hidden="1" thickBot="1">
      <c r="A875" s="1530"/>
      <c r="B875" s="1532"/>
      <c r="C875" s="1530"/>
      <c r="D875" s="1410" t="s">
        <v>2869</v>
      </c>
      <c r="E875" s="1528" t="s">
        <v>2129</v>
      </c>
      <c r="F875" s="1528" t="s">
        <v>2129</v>
      </c>
      <c r="G875" s="1528" t="s">
        <v>2129</v>
      </c>
      <c r="H875" s="1528" t="s">
        <v>2129</v>
      </c>
      <c r="I875" s="1528" t="s">
        <v>2129</v>
      </c>
      <c r="J875" s="1528" t="s">
        <v>2129</v>
      </c>
      <c r="K875" s="1528" t="s">
        <v>2129</v>
      </c>
      <c r="L875" s="1528" t="s">
        <v>2286</v>
      </c>
      <c r="M875" s="1528">
        <v>166</v>
      </c>
      <c r="N875" s="1528">
        <v>264</v>
      </c>
      <c r="O875" s="1528"/>
      <c r="P875" s="1528">
        <v>264</v>
      </c>
      <c r="Q875" s="1528"/>
      <c r="R875" s="1528"/>
      <c r="S875" s="1528" t="s">
        <v>2129</v>
      </c>
      <c r="T875" s="1528" t="s">
        <v>2129</v>
      </c>
      <c r="U875" s="1528" t="s">
        <v>2129</v>
      </c>
      <c r="V875" s="1528" t="s">
        <v>2129</v>
      </c>
      <c r="W875" s="1528" t="s">
        <v>2129</v>
      </c>
      <c r="X875" s="1528" t="s">
        <v>2129</v>
      </c>
      <c r="Y875" s="1528" t="s">
        <v>2129</v>
      </c>
      <c r="Z875" s="1528" t="s">
        <v>2129</v>
      </c>
      <c r="AA875" s="1528" t="s">
        <v>2129</v>
      </c>
      <c r="AB875" s="1528" t="s">
        <v>2129</v>
      </c>
      <c r="AC875" s="1528" t="s">
        <v>2129</v>
      </c>
      <c r="AD875" s="1528" t="s">
        <v>2129</v>
      </c>
      <c r="AE875" s="1528" t="s">
        <v>2129</v>
      </c>
      <c r="AF875" s="1528" t="s">
        <v>2129</v>
      </c>
      <c r="AG875" s="1528" t="s">
        <v>2129</v>
      </c>
    </row>
    <row r="876" spans="1:33" ht="84.75" hidden="1" thickBot="1">
      <c r="A876" s="1530"/>
      <c r="B876" s="1532"/>
      <c r="C876" s="1530"/>
      <c r="D876" s="1409" t="s">
        <v>2674</v>
      </c>
      <c r="E876" s="1529"/>
      <c r="F876" s="1529"/>
      <c r="G876" s="1529"/>
      <c r="H876" s="1529"/>
      <c r="I876" s="1529"/>
      <c r="J876" s="1529"/>
      <c r="K876" s="1529"/>
      <c r="L876" s="1529"/>
      <c r="M876" s="1529"/>
      <c r="N876" s="1529"/>
      <c r="O876" s="1529"/>
      <c r="P876" s="1529"/>
      <c r="Q876" s="1529"/>
      <c r="R876" s="1529"/>
      <c r="S876" s="1529"/>
      <c r="T876" s="1529"/>
      <c r="U876" s="1529"/>
      <c r="V876" s="1529"/>
      <c r="W876" s="1529"/>
      <c r="X876" s="1529"/>
      <c r="Y876" s="1529"/>
      <c r="Z876" s="1529"/>
      <c r="AA876" s="1529"/>
      <c r="AB876" s="1529"/>
      <c r="AC876" s="1529"/>
      <c r="AD876" s="1529"/>
      <c r="AE876" s="1529"/>
      <c r="AF876" s="1529"/>
      <c r="AG876" s="1529"/>
    </row>
    <row r="877" spans="1:33" ht="27" hidden="1" thickBot="1">
      <c r="A877" s="1530"/>
      <c r="B877" s="1532"/>
      <c r="C877" s="1530"/>
      <c r="D877" s="1410" t="s">
        <v>2870</v>
      </c>
      <c r="E877" s="1528" t="s">
        <v>2129</v>
      </c>
      <c r="F877" s="1528" t="s">
        <v>2129</v>
      </c>
      <c r="G877" s="1528" t="s">
        <v>2129</v>
      </c>
      <c r="H877" s="1528" t="s">
        <v>2129</v>
      </c>
      <c r="I877" s="1528" t="s">
        <v>2129</v>
      </c>
      <c r="J877" s="1528" t="s">
        <v>2129</v>
      </c>
      <c r="K877" s="1528" t="s">
        <v>2129</v>
      </c>
      <c r="L877" s="1528" t="s">
        <v>2286</v>
      </c>
      <c r="M877" s="1528">
        <v>166</v>
      </c>
      <c r="N877" s="1528">
        <v>193</v>
      </c>
      <c r="O877" s="1528"/>
      <c r="P877" s="1528">
        <v>193</v>
      </c>
      <c r="Q877" s="1528"/>
      <c r="R877" s="1528"/>
      <c r="S877" s="1528" t="s">
        <v>2129</v>
      </c>
      <c r="T877" s="1528" t="s">
        <v>2129</v>
      </c>
      <c r="U877" s="1528" t="s">
        <v>2129</v>
      </c>
      <c r="V877" s="1528" t="s">
        <v>2129</v>
      </c>
      <c r="W877" s="1528" t="s">
        <v>2129</v>
      </c>
      <c r="X877" s="1528" t="s">
        <v>2129</v>
      </c>
      <c r="Y877" s="1528" t="s">
        <v>2129</v>
      </c>
      <c r="Z877" s="1528" t="s">
        <v>2129</v>
      </c>
      <c r="AA877" s="1528" t="s">
        <v>2129</v>
      </c>
      <c r="AB877" s="1528" t="s">
        <v>2129</v>
      </c>
      <c r="AC877" s="1528" t="s">
        <v>2129</v>
      </c>
      <c r="AD877" s="1528" t="s">
        <v>2129</v>
      </c>
      <c r="AE877" s="1528" t="s">
        <v>2129</v>
      </c>
      <c r="AF877" s="1528" t="s">
        <v>2129</v>
      </c>
      <c r="AG877" s="1528" t="s">
        <v>2129</v>
      </c>
    </row>
    <row r="878" spans="1:33" ht="68.25" hidden="1" thickBot="1">
      <c r="A878" s="1530"/>
      <c r="B878" s="1532"/>
      <c r="C878" s="1530"/>
      <c r="D878" s="1409" t="s">
        <v>2372</v>
      </c>
      <c r="E878" s="1529"/>
      <c r="F878" s="1529"/>
      <c r="G878" s="1529"/>
      <c r="H878" s="1529"/>
      <c r="I878" s="1529"/>
      <c r="J878" s="1529"/>
      <c r="K878" s="1529"/>
      <c r="L878" s="1529"/>
      <c r="M878" s="1529"/>
      <c r="N878" s="1529"/>
      <c r="O878" s="1529"/>
      <c r="P878" s="1529"/>
      <c r="Q878" s="1529"/>
      <c r="R878" s="1529"/>
      <c r="S878" s="1529"/>
      <c r="T878" s="1529"/>
      <c r="U878" s="1529"/>
      <c r="V878" s="1529"/>
      <c r="W878" s="1529"/>
      <c r="X878" s="1529"/>
      <c r="Y878" s="1529"/>
      <c r="Z878" s="1529"/>
      <c r="AA878" s="1529"/>
      <c r="AB878" s="1529"/>
      <c r="AC878" s="1529"/>
      <c r="AD878" s="1529"/>
      <c r="AE878" s="1529"/>
      <c r="AF878" s="1529"/>
      <c r="AG878" s="1529"/>
    </row>
    <row r="879" spans="1:33" ht="27" hidden="1" thickBot="1">
      <c r="A879" s="1530"/>
      <c r="B879" s="1532"/>
      <c r="C879" s="1530"/>
      <c r="D879" s="1410" t="s">
        <v>2871</v>
      </c>
      <c r="E879" s="1528" t="s">
        <v>2129</v>
      </c>
      <c r="F879" s="1528" t="s">
        <v>2129</v>
      </c>
      <c r="G879" s="1528" t="s">
        <v>2129</v>
      </c>
      <c r="H879" s="1528" t="s">
        <v>2129</v>
      </c>
      <c r="I879" s="1528" t="s">
        <v>2129</v>
      </c>
      <c r="J879" s="1528" t="s">
        <v>2129</v>
      </c>
      <c r="K879" s="1528" t="s">
        <v>2129</v>
      </c>
      <c r="L879" s="1528" t="s">
        <v>2286</v>
      </c>
      <c r="M879" s="1528">
        <v>166</v>
      </c>
      <c r="N879" s="1528">
        <v>112</v>
      </c>
      <c r="O879" s="1528"/>
      <c r="P879" s="1528">
        <v>112</v>
      </c>
      <c r="Q879" s="1528"/>
      <c r="R879" s="1528"/>
      <c r="S879" s="1528" t="s">
        <v>2129</v>
      </c>
      <c r="T879" s="1528" t="s">
        <v>2129</v>
      </c>
      <c r="U879" s="1528" t="s">
        <v>2129</v>
      </c>
      <c r="V879" s="1528" t="s">
        <v>2129</v>
      </c>
      <c r="W879" s="1528" t="s">
        <v>2129</v>
      </c>
      <c r="X879" s="1528" t="s">
        <v>2129</v>
      </c>
      <c r="Y879" s="1528" t="s">
        <v>2129</v>
      </c>
      <c r="Z879" s="1528" t="s">
        <v>2129</v>
      </c>
      <c r="AA879" s="1528" t="s">
        <v>2129</v>
      </c>
      <c r="AB879" s="1528" t="s">
        <v>2129</v>
      </c>
      <c r="AC879" s="1528" t="s">
        <v>2129</v>
      </c>
      <c r="AD879" s="1528" t="s">
        <v>2129</v>
      </c>
      <c r="AE879" s="1528" t="s">
        <v>2129</v>
      </c>
      <c r="AF879" s="1528" t="s">
        <v>2129</v>
      </c>
      <c r="AG879" s="1528" t="s">
        <v>2129</v>
      </c>
    </row>
    <row r="880" spans="1:33" ht="76.5" hidden="1" thickBot="1">
      <c r="A880" s="1530"/>
      <c r="B880" s="1532"/>
      <c r="C880" s="1530"/>
      <c r="D880" s="1409" t="s">
        <v>2872</v>
      </c>
      <c r="E880" s="1529"/>
      <c r="F880" s="1529"/>
      <c r="G880" s="1529"/>
      <c r="H880" s="1529"/>
      <c r="I880" s="1529"/>
      <c r="J880" s="1529"/>
      <c r="K880" s="1529"/>
      <c r="L880" s="1529"/>
      <c r="M880" s="1529"/>
      <c r="N880" s="1529"/>
      <c r="O880" s="1529"/>
      <c r="P880" s="1529"/>
      <c r="Q880" s="1529"/>
      <c r="R880" s="1529"/>
      <c r="S880" s="1529"/>
      <c r="T880" s="1529"/>
      <c r="U880" s="1529"/>
      <c r="V880" s="1529"/>
      <c r="W880" s="1529"/>
      <c r="X880" s="1529"/>
      <c r="Y880" s="1529"/>
      <c r="Z880" s="1529"/>
      <c r="AA880" s="1529"/>
      <c r="AB880" s="1529"/>
      <c r="AC880" s="1529"/>
      <c r="AD880" s="1529"/>
      <c r="AE880" s="1529"/>
      <c r="AF880" s="1529"/>
      <c r="AG880" s="1529"/>
    </row>
    <row r="881" spans="1:33" ht="18.75" hidden="1" thickBot="1">
      <c r="A881" s="1530"/>
      <c r="B881" s="1532"/>
      <c r="C881" s="1530"/>
      <c r="D881" s="1410" t="s">
        <v>2734</v>
      </c>
      <c r="E881" s="1528" t="s">
        <v>2129</v>
      </c>
      <c r="F881" s="1528" t="s">
        <v>2129</v>
      </c>
      <c r="G881" s="1528" t="s">
        <v>2129</v>
      </c>
      <c r="H881" s="1528" t="s">
        <v>2129</v>
      </c>
      <c r="I881" s="1528" t="s">
        <v>2129</v>
      </c>
      <c r="J881" s="1528" t="s">
        <v>2129</v>
      </c>
      <c r="K881" s="1528" t="s">
        <v>2129</v>
      </c>
      <c r="L881" s="1528" t="s">
        <v>2286</v>
      </c>
      <c r="M881" s="1528">
        <v>166</v>
      </c>
      <c r="N881" s="1528">
        <v>126</v>
      </c>
      <c r="O881" s="1528"/>
      <c r="P881" s="1528">
        <v>126</v>
      </c>
      <c r="Q881" s="1528"/>
      <c r="R881" s="1528"/>
      <c r="S881" s="1528" t="s">
        <v>2129</v>
      </c>
      <c r="T881" s="1528" t="s">
        <v>2129</v>
      </c>
      <c r="U881" s="1528" t="s">
        <v>2129</v>
      </c>
      <c r="V881" s="1528" t="s">
        <v>2129</v>
      </c>
      <c r="W881" s="1528" t="s">
        <v>2129</v>
      </c>
      <c r="X881" s="1528" t="s">
        <v>2129</v>
      </c>
      <c r="Y881" s="1528" t="s">
        <v>2129</v>
      </c>
      <c r="Z881" s="1528" t="s">
        <v>2129</v>
      </c>
      <c r="AA881" s="1528" t="s">
        <v>2129</v>
      </c>
      <c r="AB881" s="1528" t="s">
        <v>2129</v>
      </c>
      <c r="AC881" s="1528" t="s">
        <v>2129</v>
      </c>
      <c r="AD881" s="1528" t="s">
        <v>2129</v>
      </c>
      <c r="AE881" s="1528" t="s">
        <v>2129</v>
      </c>
      <c r="AF881" s="1528" t="s">
        <v>2129</v>
      </c>
      <c r="AG881" s="1528" t="s">
        <v>2129</v>
      </c>
    </row>
    <row r="882" spans="1:33" ht="101.25" hidden="1" thickBot="1">
      <c r="A882" s="1529"/>
      <c r="B882" s="1533"/>
      <c r="C882" s="1529"/>
      <c r="D882" s="1409" t="s">
        <v>2873</v>
      </c>
      <c r="E882" s="1529"/>
      <c r="F882" s="1529"/>
      <c r="G882" s="1529"/>
      <c r="H882" s="1529"/>
      <c r="I882" s="1529"/>
      <c r="J882" s="1529"/>
      <c r="K882" s="1529"/>
      <c r="L882" s="1529"/>
      <c r="M882" s="1529"/>
      <c r="N882" s="1529"/>
      <c r="O882" s="1529"/>
      <c r="P882" s="1529"/>
      <c r="Q882" s="1529"/>
      <c r="R882" s="1529"/>
      <c r="S882" s="1529"/>
      <c r="T882" s="1529"/>
      <c r="U882" s="1529"/>
      <c r="V882" s="1529"/>
      <c r="W882" s="1529"/>
      <c r="X882" s="1529"/>
      <c r="Y882" s="1529"/>
      <c r="Z882" s="1529"/>
      <c r="AA882" s="1529"/>
      <c r="AB882" s="1529"/>
      <c r="AC882" s="1529"/>
      <c r="AD882" s="1529"/>
      <c r="AE882" s="1529"/>
      <c r="AF882" s="1529"/>
      <c r="AG882" s="1529"/>
    </row>
    <row r="883" spans="1:33" ht="25.5" hidden="1" customHeight="1">
      <c r="A883" s="1528">
        <v>114</v>
      </c>
      <c r="B883" s="1531">
        <v>1.7224300000000002E+35</v>
      </c>
      <c r="C883" s="1528" t="s">
        <v>2874</v>
      </c>
      <c r="D883" s="1528"/>
      <c r="E883" s="1528">
        <v>15104</v>
      </c>
      <c r="F883" s="1528"/>
      <c r="G883" s="1528">
        <v>15104</v>
      </c>
      <c r="H883" s="1528">
        <v>15104</v>
      </c>
      <c r="I883" s="1528">
        <v>0</v>
      </c>
      <c r="J883" s="1528">
        <v>0</v>
      </c>
      <c r="K883" s="1528">
        <v>0</v>
      </c>
      <c r="L883" s="1528" t="s">
        <v>2129</v>
      </c>
      <c r="M883" s="1528" t="s">
        <v>2129</v>
      </c>
      <c r="N883" s="1528" t="s">
        <v>2129</v>
      </c>
      <c r="O883" s="1528" t="s">
        <v>2129</v>
      </c>
      <c r="P883" s="1528" t="s">
        <v>2129</v>
      </c>
      <c r="Q883" s="1528" t="s">
        <v>2129</v>
      </c>
      <c r="R883" s="1528" t="s">
        <v>2129</v>
      </c>
      <c r="S883" s="1410" t="s">
        <v>2130</v>
      </c>
      <c r="T883" s="1528"/>
      <c r="U883" s="1528"/>
      <c r="V883" s="1528">
        <v>10.201700000000001</v>
      </c>
      <c r="W883" s="1528">
        <v>12.201700000000001</v>
      </c>
      <c r="X883" s="1528" t="s">
        <v>2131</v>
      </c>
      <c r="Y883" s="1528" t="s">
        <v>2132</v>
      </c>
      <c r="Z883" s="1528" t="s">
        <v>2132</v>
      </c>
      <c r="AA883" s="1528"/>
      <c r="AB883" s="1528"/>
      <c r="AC883" s="1528"/>
      <c r="AD883" s="1528" t="s">
        <v>2133</v>
      </c>
      <c r="AE883" s="1528"/>
      <c r="AF883" s="1528"/>
      <c r="AG883" s="1528"/>
    </row>
    <row r="884" spans="1:33" ht="76.5" hidden="1" thickBot="1">
      <c r="A884" s="1530"/>
      <c r="B884" s="1532"/>
      <c r="C884" s="1530"/>
      <c r="D884" s="1529"/>
      <c r="E884" s="1529"/>
      <c r="F884" s="1529"/>
      <c r="G884" s="1529"/>
      <c r="H884" s="1529"/>
      <c r="I884" s="1529"/>
      <c r="J884" s="1529"/>
      <c r="K884" s="1529"/>
      <c r="L884" s="1529"/>
      <c r="M884" s="1529"/>
      <c r="N884" s="1529"/>
      <c r="O884" s="1529"/>
      <c r="P884" s="1529"/>
      <c r="Q884" s="1529"/>
      <c r="R884" s="1529"/>
      <c r="S884" s="1409" t="s">
        <v>2875</v>
      </c>
      <c r="T884" s="1529"/>
      <c r="U884" s="1529"/>
      <c r="V884" s="1529"/>
      <c r="W884" s="1529"/>
      <c r="X884" s="1529"/>
      <c r="Y884" s="1529"/>
      <c r="Z884" s="1529"/>
      <c r="AA884" s="1529"/>
      <c r="AB884" s="1529"/>
      <c r="AC884" s="1529"/>
      <c r="AD884" s="1529"/>
      <c r="AE884" s="1529"/>
      <c r="AF884" s="1529"/>
      <c r="AG884" s="1529"/>
    </row>
    <row r="885" spans="1:33" ht="35.25" hidden="1" thickBot="1">
      <c r="A885" s="1529"/>
      <c r="B885" s="1533"/>
      <c r="C885" s="1529"/>
      <c r="D885" s="1409" t="s">
        <v>2876</v>
      </c>
      <c r="E885" s="1409" t="s">
        <v>2129</v>
      </c>
      <c r="F885" s="1409" t="s">
        <v>2129</v>
      </c>
      <c r="G885" s="1409" t="s">
        <v>2129</v>
      </c>
      <c r="H885" s="1409" t="s">
        <v>2129</v>
      </c>
      <c r="I885" s="1409" t="s">
        <v>2129</v>
      </c>
      <c r="J885" s="1409" t="s">
        <v>2129</v>
      </c>
      <c r="K885" s="1409" t="s">
        <v>2129</v>
      </c>
      <c r="L885" s="1409" t="s">
        <v>2232</v>
      </c>
      <c r="M885" s="1409">
        <v>792</v>
      </c>
      <c r="N885" s="1409">
        <v>2</v>
      </c>
      <c r="O885" s="1409">
        <v>2</v>
      </c>
      <c r="P885" s="1409"/>
      <c r="Q885" s="1409"/>
      <c r="R885" s="1409"/>
      <c r="S885" s="1409" t="s">
        <v>2129</v>
      </c>
      <c r="T885" s="1409" t="s">
        <v>2129</v>
      </c>
      <c r="U885" s="1409" t="s">
        <v>2129</v>
      </c>
      <c r="V885" s="1409" t="s">
        <v>2129</v>
      </c>
      <c r="W885" s="1409" t="s">
        <v>2129</v>
      </c>
      <c r="X885" s="1409" t="s">
        <v>2129</v>
      </c>
      <c r="Y885" s="1409" t="s">
        <v>2129</v>
      </c>
      <c r="Z885" s="1409" t="s">
        <v>2129</v>
      </c>
      <c r="AA885" s="1409" t="s">
        <v>2129</v>
      </c>
      <c r="AB885" s="1409" t="s">
        <v>2129</v>
      </c>
      <c r="AC885" s="1409" t="s">
        <v>2129</v>
      </c>
      <c r="AD885" s="1409" t="s">
        <v>2129</v>
      </c>
      <c r="AE885" s="1409" t="s">
        <v>2129</v>
      </c>
      <c r="AF885" s="1409" t="s">
        <v>2129</v>
      </c>
      <c r="AG885" s="1409" t="s">
        <v>2129</v>
      </c>
    </row>
    <row r="886" spans="1:33" ht="25.5" hidden="1" customHeight="1">
      <c r="A886" s="1528">
        <v>115</v>
      </c>
      <c r="B886" s="1531">
        <v>1.7224300000000002E+35</v>
      </c>
      <c r="C886" s="1528" t="s">
        <v>2877</v>
      </c>
      <c r="D886" s="1528"/>
      <c r="E886" s="1528">
        <v>470962.66</v>
      </c>
      <c r="F886" s="1528"/>
      <c r="G886" s="1528">
        <v>470962.66</v>
      </c>
      <c r="H886" s="1528">
        <v>470962.66</v>
      </c>
      <c r="I886" s="1528">
        <v>0</v>
      </c>
      <c r="J886" s="1528">
        <v>0</v>
      </c>
      <c r="K886" s="1528">
        <v>0</v>
      </c>
      <c r="L886" s="1528" t="s">
        <v>2129</v>
      </c>
      <c r="M886" s="1528" t="s">
        <v>2129</v>
      </c>
      <c r="N886" s="1528" t="s">
        <v>2129</v>
      </c>
      <c r="O886" s="1528" t="s">
        <v>2129</v>
      </c>
      <c r="P886" s="1528" t="s">
        <v>2129</v>
      </c>
      <c r="Q886" s="1528" t="s">
        <v>2129</v>
      </c>
      <c r="R886" s="1528" t="s">
        <v>2129</v>
      </c>
      <c r="S886" s="1410" t="s">
        <v>2130</v>
      </c>
      <c r="T886" s="1528"/>
      <c r="U886" s="1528"/>
      <c r="V886" s="1528">
        <v>11.201700000000001</v>
      </c>
      <c r="W886" s="1528">
        <v>12.201700000000001</v>
      </c>
      <c r="X886" s="1528" t="s">
        <v>2131</v>
      </c>
      <c r="Y886" s="1528" t="s">
        <v>2132</v>
      </c>
      <c r="Z886" s="1528" t="s">
        <v>2132</v>
      </c>
      <c r="AA886" s="1528"/>
      <c r="AB886" s="1528"/>
      <c r="AC886" s="1528"/>
      <c r="AD886" s="1528" t="s">
        <v>2133</v>
      </c>
      <c r="AE886" s="1528"/>
      <c r="AF886" s="1528"/>
      <c r="AG886" s="1528"/>
    </row>
    <row r="887" spans="1:33" ht="76.5" hidden="1" thickBot="1">
      <c r="A887" s="1530"/>
      <c r="B887" s="1532"/>
      <c r="C887" s="1530"/>
      <c r="D887" s="1529"/>
      <c r="E887" s="1529"/>
      <c r="F887" s="1529"/>
      <c r="G887" s="1529"/>
      <c r="H887" s="1529"/>
      <c r="I887" s="1529"/>
      <c r="J887" s="1529"/>
      <c r="K887" s="1529"/>
      <c r="L887" s="1529"/>
      <c r="M887" s="1529"/>
      <c r="N887" s="1529"/>
      <c r="O887" s="1529"/>
      <c r="P887" s="1529"/>
      <c r="Q887" s="1529"/>
      <c r="R887" s="1529"/>
      <c r="S887" s="1409" t="s">
        <v>2878</v>
      </c>
      <c r="T887" s="1529"/>
      <c r="U887" s="1529"/>
      <c r="V887" s="1529"/>
      <c r="W887" s="1529"/>
      <c r="X887" s="1529"/>
      <c r="Y887" s="1529"/>
      <c r="Z887" s="1529"/>
      <c r="AA887" s="1529"/>
      <c r="AB887" s="1529"/>
      <c r="AC887" s="1529"/>
      <c r="AD887" s="1529"/>
      <c r="AE887" s="1529"/>
      <c r="AF887" s="1529"/>
      <c r="AG887" s="1529"/>
    </row>
    <row r="888" spans="1:33" ht="15.75" hidden="1" thickBot="1">
      <c r="A888" s="1529"/>
      <c r="B888" s="1533"/>
      <c r="C888" s="1529"/>
      <c r="D888" s="1409" t="s">
        <v>1691</v>
      </c>
      <c r="E888" s="1409" t="s">
        <v>2129</v>
      </c>
      <c r="F888" s="1409" t="s">
        <v>2129</v>
      </c>
      <c r="G888" s="1409" t="s">
        <v>2129</v>
      </c>
      <c r="H888" s="1409" t="s">
        <v>2129</v>
      </c>
      <c r="I888" s="1409" t="s">
        <v>2129</v>
      </c>
      <c r="J888" s="1409" t="s">
        <v>2129</v>
      </c>
      <c r="K888" s="1409" t="s">
        <v>2129</v>
      </c>
      <c r="L888" s="1409" t="s">
        <v>2141</v>
      </c>
      <c r="M888" s="1409">
        <v>233</v>
      </c>
      <c r="N888" s="1409">
        <v>1</v>
      </c>
      <c r="O888" s="1409">
        <v>1</v>
      </c>
      <c r="P888" s="1409"/>
      <c r="Q888" s="1409"/>
      <c r="R888" s="1409"/>
      <c r="S888" s="1409" t="s">
        <v>2129</v>
      </c>
      <c r="T888" s="1409" t="s">
        <v>2129</v>
      </c>
      <c r="U888" s="1409" t="s">
        <v>2129</v>
      </c>
      <c r="V888" s="1409" t="s">
        <v>2129</v>
      </c>
      <c r="W888" s="1409" t="s">
        <v>2129</v>
      </c>
      <c r="X888" s="1409" t="s">
        <v>2129</v>
      </c>
      <c r="Y888" s="1409" t="s">
        <v>2129</v>
      </c>
      <c r="Z888" s="1409" t="s">
        <v>2129</v>
      </c>
      <c r="AA888" s="1409" t="s">
        <v>2129</v>
      </c>
      <c r="AB888" s="1409" t="s">
        <v>2129</v>
      </c>
      <c r="AC888" s="1409" t="s">
        <v>2129</v>
      </c>
      <c r="AD888" s="1409" t="s">
        <v>2129</v>
      </c>
      <c r="AE888" s="1409" t="s">
        <v>2129</v>
      </c>
      <c r="AF888" s="1409" t="s">
        <v>2129</v>
      </c>
      <c r="AG888" s="1409" t="s">
        <v>2129</v>
      </c>
    </row>
    <row r="889" spans="1:33" ht="25.5" hidden="1" customHeight="1">
      <c r="A889" s="1528">
        <v>116</v>
      </c>
      <c r="B889" s="1531">
        <v>1.7224300000000002E+35</v>
      </c>
      <c r="C889" s="1528" t="s">
        <v>2754</v>
      </c>
      <c r="D889" s="1528"/>
      <c r="E889" s="1528">
        <v>31457.62</v>
      </c>
      <c r="F889" s="1528"/>
      <c r="G889" s="1528">
        <v>31457.62</v>
      </c>
      <c r="H889" s="1528">
        <v>31457.62</v>
      </c>
      <c r="I889" s="1528">
        <v>0</v>
      </c>
      <c r="J889" s="1528">
        <v>0</v>
      </c>
      <c r="K889" s="1528">
        <v>0</v>
      </c>
      <c r="L889" s="1528" t="s">
        <v>2129</v>
      </c>
      <c r="M889" s="1528" t="s">
        <v>2129</v>
      </c>
      <c r="N889" s="1528" t="s">
        <v>2129</v>
      </c>
      <c r="O889" s="1528" t="s">
        <v>2129</v>
      </c>
      <c r="P889" s="1528" t="s">
        <v>2129</v>
      </c>
      <c r="Q889" s="1528" t="s">
        <v>2129</v>
      </c>
      <c r="R889" s="1528" t="s">
        <v>2129</v>
      </c>
      <c r="S889" s="1410" t="s">
        <v>2130</v>
      </c>
      <c r="T889" s="1528"/>
      <c r="U889" s="1528"/>
      <c r="V889" s="1528">
        <v>11.201700000000001</v>
      </c>
      <c r="W889" s="1528">
        <v>12.201700000000001</v>
      </c>
      <c r="X889" s="1528" t="s">
        <v>2131</v>
      </c>
      <c r="Y889" s="1528" t="s">
        <v>2132</v>
      </c>
      <c r="Z889" s="1528" t="s">
        <v>2132</v>
      </c>
      <c r="AA889" s="1528"/>
      <c r="AB889" s="1528"/>
      <c r="AC889" s="1528"/>
      <c r="AD889" s="1528" t="s">
        <v>2133</v>
      </c>
      <c r="AE889" s="1528"/>
      <c r="AF889" s="1528"/>
      <c r="AG889" s="1528"/>
    </row>
    <row r="890" spans="1:33" ht="76.5" hidden="1" thickBot="1">
      <c r="A890" s="1530"/>
      <c r="B890" s="1532"/>
      <c r="C890" s="1530"/>
      <c r="D890" s="1529"/>
      <c r="E890" s="1529"/>
      <c r="F890" s="1529"/>
      <c r="G890" s="1529"/>
      <c r="H890" s="1529"/>
      <c r="I890" s="1529"/>
      <c r="J890" s="1529"/>
      <c r="K890" s="1529"/>
      <c r="L890" s="1529"/>
      <c r="M890" s="1529"/>
      <c r="N890" s="1529"/>
      <c r="O890" s="1529"/>
      <c r="P890" s="1529"/>
      <c r="Q890" s="1529"/>
      <c r="R890" s="1529"/>
      <c r="S890" s="1409" t="s">
        <v>2878</v>
      </c>
      <c r="T890" s="1529"/>
      <c r="U890" s="1529"/>
      <c r="V890" s="1529"/>
      <c r="W890" s="1529"/>
      <c r="X890" s="1529"/>
      <c r="Y890" s="1529"/>
      <c r="Z890" s="1529"/>
      <c r="AA890" s="1529"/>
      <c r="AB890" s="1529"/>
      <c r="AC890" s="1529"/>
      <c r="AD890" s="1529"/>
      <c r="AE890" s="1529"/>
      <c r="AF890" s="1529"/>
      <c r="AG890" s="1529"/>
    </row>
    <row r="891" spans="1:33" ht="15.75" hidden="1" thickBot="1">
      <c r="A891" s="1529"/>
      <c r="B891" s="1533"/>
      <c r="C891" s="1529"/>
      <c r="D891" s="1409" t="s">
        <v>2879</v>
      </c>
      <c r="E891" s="1409" t="s">
        <v>2129</v>
      </c>
      <c r="F891" s="1409" t="s">
        <v>2129</v>
      </c>
      <c r="G891" s="1409" t="s">
        <v>2129</v>
      </c>
      <c r="H891" s="1409" t="s">
        <v>2129</v>
      </c>
      <c r="I891" s="1409" t="s">
        <v>2129</v>
      </c>
      <c r="J891" s="1409" t="s">
        <v>2129</v>
      </c>
      <c r="K891" s="1409" t="s">
        <v>2129</v>
      </c>
      <c r="L891" s="1409" t="s">
        <v>2152</v>
      </c>
      <c r="M891" s="1409">
        <v>113</v>
      </c>
      <c r="N891" s="1409">
        <v>106</v>
      </c>
      <c r="O891" s="1409">
        <v>106</v>
      </c>
      <c r="P891" s="1409"/>
      <c r="Q891" s="1409"/>
      <c r="R891" s="1409"/>
      <c r="S891" s="1409" t="s">
        <v>2129</v>
      </c>
      <c r="T891" s="1409" t="s">
        <v>2129</v>
      </c>
      <c r="U891" s="1409" t="s">
        <v>2129</v>
      </c>
      <c r="V891" s="1409" t="s">
        <v>2129</v>
      </c>
      <c r="W891" s="1409" t="s">
        <v>2129</v>
      </c>
      <c r="X891" s="1409" t="s">
        <v>2129</v>
      </c>
      <c r="Y891" s="1409" t="s">
        <v>2129</v>
      </c>
      <c r="Z891" s="1409" t="s">
        <v>2129</v>
      </c>
      <c r="AA891" s="1409" t="s">
        <v>2129</v>
      </c>
      <c r="AB891" s="1409" t="s">
        <v>2129</v>
      </c>
      <c r="AC891" s="1409" t="s">
        <v>2129</v>
      </c>
      <c r="AD891" s="1409" t="s">
        <v>2129</v>
      </c>
      <c r="AE891" s="1409" t="s">
        <v>2129</v>
      </c>
      <c r="AF891" s="1409" t="s">
        <v>2129</v>
      </c>
      <c r="AG891" s="1409" t="s">
        <v>2129</v>
      </c>
    </row>
    <row r="892" spans="1:33" ht="25.5" hidden="1" customHeight="1">
      <c r="A892" s="1528">
        <v>117</v>
      </c>
      <c r="B892" s="1531">
        <v>1.7224300000000002E+35</v>
      </c>
      <c r="C892" s="1528" t="s">
        <v>2880</v>
      </c>
      <c r="D892" s="1528"/>
      <c r="E892" s="1528">
        <v>128513.76</v>
      </c>
      <c r="F892" s="1528"/>
      <c r="G892" s="1528">
        <v>128513.76</v>
      </c>
      <c r="H892" s="1528">
        <v>128513.76</v>
      </c>
      <c r="I892" s="1528">
        <v>0</v>
      </c>
      <c r="J892" s="1528">
        <v>0</v>
      </c>
      <c r="K892" s="1528">
        <v>0</v>
      </c>
      <c r="L892" s="1528" t="s">
        <v>2129</v>
      </c>
      <c r="M892" s="1528" t="s">
        <v>2129</v>
      </c>
      <c r="N892" s="1528" t="s">
        <v>2129</v>
      </c>
      <c r="O892" s="1528" t="s">
        <v>2129</v>
      </c>
      <c r="P892" s="1528" t="s">
        <v>2129</v>
      </c>
      <c r="Q892" s="1528" t="s">
        <v>2129</v>
      </c>
      <c r="R892" s="1528" t="s">
        <v>2129</v>
      </c>
      <c r="S892" s="1410" t="s">
        <v>2130</v>
      </c>
      <c r="T892" s="1528"/>
      <c r="U892" s="1528"/>
      <c r="V892" s="1528">
        <v>11.201700000000001</v>
      </c>
      <c r="W892" s="1528">
        <v>12.201700000000001</v>
      </c>
      <c r="X892" s="1528" t="s">
        <v>2131</v>
      </c>
      <c r="Y892" s="1528" t="s">
        <v>2132</v>
      </c>
      <c r="Z892" s="1528" t="s">
        <v>2132</v>
      </c>
      <c r="AA892" s="1528"/>
      <c r="AB892" s="1528"/>
      <c r="AC892" s="1528"/>
      <c r="AD892" s="1528" t="s">
        <v>2133</v>
      </c>
      <c r="AE892" s="1528"/>
      <c r="AF892" s="1528"/>
      <c r="AG892" s="1528"/>
    </row>
    <row r="893" spans="1:33" ht="76.5" hidden="1" thickBot="1">
      <c r="A893" s="1530"/>
      <c r="B893" s="1532"/>
      <c r="C893" s="1530"/>
      <c r="D893" s="1529"/>
      <c r="E893" s="1529"/>
      <c r="F893" s="1529"/>
      <c r="G893" s="1529"/>
      <c r="H893" s="1529"/>
      <c r="I893" s="1529"/>
      <c r="J893" s="1529"/>
      <c r="K893" s="1529"/>
      <c r="L893" s="1529"/>
      <c r="M893" s="1529"/>
      <c r="N893" s="1529"/>
      <c r="O893" s="1529"/>
      <c r="P893" s="1529"/>
      <c r="Q893" s="1529"/>
      <c r="R893" s="1529"/>
      <c r="S893" s="1409" t="s">
        <v>2878</v>
      </c>
      <c r="T893" s="1529"/>
      <c r="U893" s="1529"/>
      <c r="V893" s="1529"/>
      <c r="W893" s="1529"/>
      <c r="X893" s="1529"/>
      <c r="Y893" s="1529"/>
      <c r="Z893" s="1529"/>
      <c r="AA893" s="1529"/>
      <c r="AB893" s="1529"/>
      <c r="AC893" s="1529"/>
      <c r="AD893" s="1529"/>
      <c r="AE893" s="1529"/>
      <c r="AF893" s="1529"/>
      <c r="AG893" s="1529"/>
    </row>
    <row r="894" spans="1:33" ht="15.75" hidden="1" thickBot="1">
      <c r="A894" s="1529"/>
      <c r="B894" s="1533"/>
      <c r="C894" s="1529"/>
      <c r="D894" s="1409" t="s">
        <v>1690</v>
      </c>
      <c r="E894" s="1409" t="s">
        <v>2129</v>
      </c>
      <c r="F894" s="1409" t="s">
        <v>2129</v>
      </c>
      <c r="G894" s="1409" t="s">
        <v>2129</v>
      </c>
      <c r="H894" s="1409" t="s">
        <v>2129</v>
      </c>
      <c r="I894" s="1409" t="s">
        <v>2129</v>
      </c>
      <c r="J894" s="1409" t="s">
        <v>2129</v>
      </c>
      <c r="K894" s="1409" t="s">
        <v>2129</v>
      </c>
      <c r="L894" s="1409" t="s">
        <v>2881</v>
      </c>
      <c r="M894" s="1409">
        <v>245</v>
      </c>
      <c r="N894" s="1409">
        <v>1</v>
      </c>
      <c r="O894" s="1409">
        <v>1</v>
      </c>
      <c r="P894" s="1409"/>
      <c r="Q894" s="1409"/>
      <c r="R894" s="1409"/>
      <c r="S894" s="1409" t="s">
        <v>2129</v>
      </c>
      <c r="T894" s="1409" t="s">
        <v>2129</v>
      </c>
      <c r="U894" s="1409" t="s">
        <v>2129</v>
      </c>
      <c r="V894" s="1409" t="s">
        <v>2129</v>
      </c>
      <c r="W894" s="1409" t="s">
        <v>2129</v>
      </c>
      <c r="X894" s="1409" t="s">
        <v>2129</v>
      </c>
      <c r="Y894" s="1409" t="s">
        <v>2129</v>
      </c>
      <c r="Z894" s="1409" t="s">
        <v>2129</v>
      </c>
      <c r="AA894" s="1409" t="s">
        <v>2129</v>
      </c>
      <c r="AB894" s="1409" t="s">
        <v>2129</v>
      </c>
      <c r="AC894" s="1409" t="s">
        <v>2129</v>
      </c>
      <c r="AD894" s="1409" t="s">
        <v>2129</v>
      </c>
      <c r="AE894" s="1409" t="s">
        <v>2129</v>
      </c>
      <c r="AF894" s="1409" t="s">
        <v>2129</v>
      </c>
      <c r="AG894" s="1409" t="s">
        <v>2129</v>
      </c>
    </row>
    <row r="895" spans="1:33" ht="23.25" customHeight="1" thickBot="1">
      <c r="A895" s="1528">
        <v>118</v>
      </c>
      <c r="B895" s="1531">
        <v>1.7224300000000002E+35</v>
      </c>
      <c r="C895" s="1528" t="s">
        <v>2882</v>
      </c>
      <c r="D895" s="1528"/>
      <c r="E895" s="1528">
        <v>6225.55</v>
      </c>
      <c r="F895" s="1528"/>
      <c r="G895" s="1528">
        <v>6225.55</v>
      </c>
      <c r="H895" s="1528">
        <v>0</v>
      </c>
      <c r="I895" s="1528">
        <v>6225.55</v>
      </c>
      <c r="J895" s="1528">
        <v>0</v>
      </c>
      <c r="K895" s="1528">
        <v>0</v>
      </c>
      <c r="L895" s="1528" t="s">
        <v>2129</v>
      </c>
      <c r="M895" s="1528" t="s">
        <v>2129</v>
      </c>
      <c r="N895" s="1528" t="s">
        <v>2129</v>
      </c>
      <c r="O895" s="1528" t="s">
        <v>2129</v>
      </c>
      <c r="P895" s="1528" t="s">
        <v>2129</v>
      </c>
      <c r="Q895" s="1528" t="s">
        <v>2129</v>
      </c>
      <c r="R895" s="1528" t="s">
        <v>2129</v>
      </c>
      <c r="S895" s="1410" t="s">
        <v>2149</v>
      </c>
      <c r="T895" s="1528">
        <v>62.26</v>
      </c>
      <c r="U895" s="1528">
        <v>311.27999999999997</v>
      </c>
      <c r="V895" s="1528">
        <v>12.201700000000001</v>
      </c>
      <c r="W895" s="1528">
        <v>7.2018000000000004</v>
      </c>
      <c r="X895" s="1528" t="s">
        <v>2281</v>
      </c>
      <c r="Y895" s="1528" t="s">
        <v>2132</v>
      </c>
      <c r="Z895" s="1528" t="s">
        <v>2282</v>
      </c>
      <c r="AA895" s="1528"/>
      <c r="AB895" s="1528"/>
      <c r="AC895" s="1528"/>
      <c r="AD895" s="1528" t="s">
        <v>2133</v>
      </c>
      <c r="AE895" s="1528"/>
      <c r="AF895" s="1528" t="s">
        <v>2283</v>
      </c>
      <c r="AG895" s="1528"/>
    </row>
    <row r="896" spans="1:33" ht="93" hidden="1" thickBot="1">
      <c r="A896" s="1530"/>
      <c r="B896" s="1532"/>
      <c r="C896" s="1530"/>
      <c r="D896" s="1529"/>
      <c r="E896" s="1529"/>
      <c r="F896" s="1529"/>
      <c r="G896" s="1529"/>
      <c r="H896" s="1529"/>
      <c r="I896" s="1529"/>
      <c r="J896" s="1529"/>
      <c r="K896" s="1529"/>
      <c r="L896" s="1529"/>
      <c r="M896" s="1529"/>
      <c r="N896" s="1529"/>
      <c r="O896" s="1529"/>
      <c r="P896" s="1529"/>
      <c r="Q896" s="1529"/>
      <c r="R896" s="1529"/>
      <c r="S896" s="1409" t="s">
        <v>2883</v>
      </c>
      <c r="T896" s="1529"/>
      <c r="U896" s="1529"/>
      <c r="V896" s="1529"/>
      <c r="W896" s="1529"/>
      <c r="X896" s="1529"/>
      <c r="Y896" s="1529"/>
      <c r="Z896" s="1529"/>
      <c r="AA896" s="1529"/>
      <c r="AB896" s="1529"/>
      <c r="AC896" s="1529"/>
      <c r="AD896" s="1529"/>
      <c r="AE896" s="1529"/>
      <c r="AF896" s="1529"/>
      <c r="AG896" s="1529"/>
    </row>
    <row r="897" spans="1:33" ht="43.5" hidden="1" thickBot="1">
      <c r="A897" s="1530"/>
      <c r="B897" s="1532"/>
      <c r="C897" s="1530"/>
      <c r="D897" s="1409" t="s">
        <v>2884</v>
      </c>
      <c r="E897" s="1409" t="s">
        <v>2129</v>
      </c>
      <c r="F897" s="1409" t="s">
        <v>2129</v>
      </c>
      <c r="G897" s="1409" t="s">
        <v>2129</v>
      </c>
      <c r="H897" s="1409" t="s">
        <v>2129</v>
      </c>
      <c r="I897" s="1409" t="s">
        <v>2129</v>
      </c>
      <c r="J897" s="1409" t="s">
        <v>2129</v>
      </c>
      <c r="K897" s="1409" t="s">
        <v>2129</v>
      </c>
      <c r="L897" s="1409" t="s">
        <v>2286</v>
      </c>
      <c r="M897" s="1409">
        <v>166</v>
      </c>
      <c r="N897" s="1409">
        <v>34.200000000000003</v>
      </c>
      <c r="O897" s="1409"/>
      <c r="P897" s="1409">
        <v>34.200000000000003</v>
      </c>
      <c r="Q897" s="1409"/>
      <c r="R897" s="1409"/>
      <c r="S897" s="1409" t="s">
        <v>2129</v>
      </c>
      <c r="T897" s="1409" t="s">
        <v>2129</v>
      </c>
      <c r="U897" s="1409" t="s">
        <v>2129</v>
      </c>
      <c r="V897" s="1409" t="s">
        <v>2129</v>
      </c>
      <c r="W897" s="1409" t="s">
        <v>2129</v>
      </c>
      <c r="X897" s="1409" t="s">
        <v>2129</v>
      </c>
      <c r="Y897" s="1409" t="s">
        <v>2129</v>
      </c>
      <c r="Z897" s="1409" t="s">
        <v>2129</v>
      </c>
      <c r="AA897" s="1409" t="s">
        <v>2129</v>
      </c>
      <c r="AB897" s="1409" t="s">
        <v>2129</v>
      </c>
      <c r="AC897" s="1409" t="s">
        <v>2129</v>
      </c>
      <c r="AD897" s="1409" t="s">
        <v>2129</v>
      </c>
      <c r="AE897" s="1409" t="s">
        <v>2129</v>
      </c>
      <c r="AF897" s="1409" t="s">
        <v>2129</v>
      </c>
      <c r="AG897" s="1409" t="s">
        <v>2129</v>
      </c>
    </row>
    <row r="898" spans="1:33" ht="27" hidden="1" thickBot="1">
      <c r="A898" s="1530"/>
      <c r="B898" s="1532"/>
      <c r="C898" s="1530"/>
      <c r="D898" s="1409" t="s">
        <v>2885</v>
      </c>
      <c r="E898" s="1409" t="s">
        <v>2129</v>
      </c>
      <c r="F898" s="1409" t="s">
        <v>2129</v>
      </c>
      <c r="G898" s="1409" t="s">
        <v>2129</v>
      </c>
      <c r="H898" s="1409" t="s">
        <v>2129</v>
      </c>
      <c r="I898" s="1409" t="s">
        <v>2129</v>
      </c>
      <c r="J898" s="1409" t="s">
        <v>2129</v>
      </c>
      <c r="K898" s="1409" t="s">
        <v>2129</v>
      </c>
      <c r="L898" s="1409" t="s">
        <v>2286</v>
      </c>
      <c r="M898" s="1409">
        <v>166</v>
      </c>
      <c r="N898" s="1409">
        <v>15</v>
      </c>
      <c r="O898" s="1409"/>
      <c r="P898" s="1409">
        <v>15</v>
      </c>
      <c r="Q898" s="1409"/>
      <c r="R898" s="1409"/>
      <c r="S898" s="1409" t="s">
        <v>2129</v>
      </c>
      <c r="T898" s="1409" t="s">
        <v>2129</v>
      </c>
      <c r="U898" s="1409" t="s">
        <v>2129</v>
      </c>
      <c r="V898" s="1409" t="s">
        <v>2129</v>
      </c>
      <c r="W898" s="1409" t="s">
        <v>2129</v>
      </c>
      <c r="X898" s="1409" t="s">
        <v>2129</v>
      </c>
      <c r="Y898" s="1409" t="s">
        <v>2129</v>
      </c>
      <c r="Z898" s="1409" t="s">
        <v>2129</v>
      </c>
      <c r="AA898" s="1409" t="s">
        <v>2129</v>
      </c>
      <c r="AB898" s="1409" t="s">
        <v>2129</v>
      </c>
      <c r="AC898" s="1409" t="s">
        <v>2129</v>
      </c>
      <c r="AD898" s="1409" t="s">
        <v>2129</v>
      </c>
      <c r="AE898" s="1409" t="s">
        <v>2129</v>
      </c>
      <c r="AF898" s="1409" t="s">
        <v>2129</v>
      </c>
      <c r="AG898" s="1409" t="s">
        <v>2129</v>
      </c>
    </row>
    <row r="899" spans="1:33" ht="35.25" hidden="1" thickBot="1">
      <c r="A899" s="1530"/>
      <c r="B899" s="1532"/>
      <c r="C899" s="1530"/>
      <c r="D899" s="1409" t="s">
        <v>2701</v>
      </c>
      <c r="E899" s="1409" t="s">
        <v>2129</v>
      </c>
      <c r="F899" s="1409" t="s">
        <v>2129</v>
      </c>
      <c r="G899" s="1409" t="s">
        <v>2129</v>
      </c>
      <c r="H899" s="1409" t="s">
        <v>2129</v>
      </c>
      <c r="I899" s="1409" t="s">
        <v>2129</v>
      </c>
      <c r="J899" s="1409" t="s">
        <v>2129</v>
      </c>
      <c r="K899" s="1409" t="s">
        <v>2129</v>
      </c>
      <c r="L899" s="1409" t="s">
        <v>2286</v>
      </c>
      <c r="M899" s="1409">
        <v>166</v>
      </c>
      <c r="N899" s="1409">
        <v>24</v>
      </c>
      <c r="O899" s="1409"/>
      <c r="P899" s="1409">
        <v>24</v>
      </c>
      <c r="Q899" s="1409"/>
      <c r="R899" s="1409"/>
      <c r="S899" s="1409" t="s">
        <v>2129</v>
      </c>
      <c r="T899" s="1409" t="s">
        <v>2129</v>
      </c>
      <c r="U899" s="1409" t="s">
        <v>2129</v>
      </c>
      <c r="V899" s="1409" t="s">
        <v>2129</v>
      </c>
      <c r="W899" s="1409" t="s">
        <v>2129</v>
      </c>
      <c r="X899" s="1409" t="s">
        <v>2129</v>
      </c>
      <c r="Y899" s="1409" t="s">
        <v>2129</v>
      </c>
      <c r="Z899" s="1409" t="s">
        <v>2129</v>
      </c>
      <c r="AA899" s="1409" t="s">
        <v>2129</v>
      </c>
      <c r="AB899" s="1409" t="s">
        <v>2129</v>
      </c>
      <c r="AC899" s="1409" t="s">
        <v>2129</v>
      </c>
      <c r="AD899" s="1409" t="s">
        <v>2129</v>
      </c>
      <c r="AE899" s="1409" t="s">
        <v>2129</v>
      </c>
      <c r="AF899" s="1409" t="s">
        <v>2129</v>
      </c>
      <c r="AG899" s="1409" t="s">
        <v>2129</v>
      </c>
    </row>
    <row r="900" spans="1:33" ht="35.25" hidden="1" thickBot="1">
      <c r="A900" s="1529"/>
      <c r="B900" s="1533"/>
      <c r="C900" s="1529"/>
      <c r="D900" s="1409" t="s">
        <v>2703</v>
      </c>
      <c r="E900" s="1409" t="s">
        <v>2129</v>
      </c>
      <c r="F900" s="1409" t="s">
        <v>2129</v>
      </c>
      <c r="G900" s="1409" t="s">
        <v>2129</v>
      </c>
      <c r="H900" s="1409" t="s">
        <v>2129</v>
      </c>
      <c r="I900" s="1409" t="s">
        <v>2129</v>
      </c>
      <c r="J900" s="1409" t="s">
        <v>2129</v>
      </c>
      <c r="K900" s="1409" t="s">
        <v>2129</v>
      </c>
      <c r="L900" s="1409" t="s">
        <v>2286</v>
      </c>
      <c r="M900" s="1409">
        <v>166</v>
      </c>
      <c r="N900" s="1409">
        <v>12</v>
      </c>
      <c r="O900" s="1409"/>
      <c r="P900" s="1409">
        <v>12</v>
      </c>
      <c r="Q900" s="1409"/>
      <c r="R900" s="1409"/>
      <c r="S900" s="1409" t="s">
        <v>2129</v>
      </c>
      <c r="T900" s="1409" t="s">
        <v>2129</v>
      </c>
      <c r="U900" s="1409" t="s">
        <v>2129</v>
      </c>
      <c r="V900" s="1409" t="s">
        <v>2129</v>
      </c>
      <c r="W900" s="1409" t="s">
        <v>2129</v>
      </c>
      <c r="X900" s="1409" t="s">
        <v>2129</v>
      </c>
      <c r="Y900" s="1409" t="s">
        <v>2129</v>
      </c>
      <c r="Z900" s="1409" t="s">
        <v>2129</v>
      </c>
      <c r="AA900" s="1409" t="s">
        <v>2129</v>
      </c>
      <c r="AB900" s="1409" t="s">
        <v>2129</v>
      </c>
      <c r="AC900" s="1409" t="s">
        <v>2129</v>
      </c>
      <c r="AD900" s="1409" t="s">
        <v>2129</v>
      </c>
      <c r="AE900" s="1409" t="s">
        <v>2129</v>
      </c>
      <c r="AF900" s="1409" t="s">
        <v>2129</v>
      </c>
      <c r="AG900" s="1409" t="s">
        <v>2129</v>
      </c>
    </row>
    <row r="901" spans="1:33" ht="23.25" customHeight="1" thickBot="1">
      <c r="A901" s="1528">
        <v>119</v>
      </c>
      <c r="B901" s="1531">
        <v>1.7224300000000002E+35</v>
      </c>
      <c r="C901" s="1528" t="s">
        <v>2882</v>
      </c>
      <c r="D901" s="1528"/>
      <c r="E901" s="1528">
        <v>63599.35</v>
      </c>
      <c r="F901" s="1528"/>
      <c r="G901" s="1528">
        <v>63599.35</v>
      </c>
      <c r="H901" s="1528">
        <v>0</v>
      </c>
      <c r="I901" s="1528">
        <v>63599.35</v>
      </c>
      <c r="J901" s="1528">
        <v>0</v>
      </c>
      <c r="K901" s="1528">
        <v>0</v>
      </c>
      <c r="L901" s="1528" t="s">
        <v>2129</v>
      </c>
      <c r="M901" s="1528" t="s">
        <v>2129</v>
      </c>
      <c r="N901" s="1528" t="s">
        <v>2129</v>
      </c>
      <c r="O901" s="1528" t="s">
        <v>2129</v>
      </c>
      <c r="P901" s="1528" t="s">
        <v>2129</v>
      </c>
      <c r="Q901" s="1528" t="s">
        <v>2129</v>
      </c>
      <c r="R901" s="1528" t="s">
        <v>2129</v>
      </c>
      <c r="S901" s="1410" t="s">
        <v>2149</v>
      </c>
      <c r="T901" s="1528">
        <v>635.99</v>
      </c>
      <c r="U901" s="1528">
        <v>3179.97</v>
      </c>
      <c r="V901" s="1528">
        <v>12.201700000000001</v>
      </c>
      <c r="W901" s="1528">
        <v>7.2018000000000004</v>
      </c>
      <c r="X901" s="1528" t="s">
        <v>2281</v>
      </c>
      <c r="Y901" s="1528" t="s">
        <v>2132</v>
      </c>
      <c r="Z901" s="1528" t="s">
        <v>2282</v>
      </c>
      <c r="AA901" s="1528"/>
      <c r="AB901" s="1528"/>
      <c r="AC901" s="1528"/>
      <c r="AD901" s="1528" t="s">
        <v>2133</v>
      </c>
      <c r="AE901" s="1528"/>
      <c r="AF901" s="1528" t="s">
        <v>2283</v>
      </c>
      <c r="AG901" s="1528"/>
    </row>
    <row r="902" spans="1:33" ht="93" hidden="1" thickBot="1">
      <c r="A902" s="1530"/>
      <c r="B902" s="1532"/>
      <c r="C902" s="1530"/>
      <c r="D902" s="1529"/>
      <c r="E902" s="1529"/>
      <c r="F902" s="1529"/>
      <c r="G902" s="1529"/>
      <c r="H902" s="1529"/>
      <c r="I902" s="1529"/>
      <c r="J902" s="1529"/>
      <c r="K902" s="1529"/>
      <c r="L902" s="1529"/>
      <c r="M902" s="1529"/>
      <c r="N902" s="1529"/>
      <c r="O902" s="1529"/>
      <c r="P902" s="1529"/>
      <c r="Q902" s="1529"/>
      <c r="R902" s="1529"/>
      <c r="S902" s="1409" t="s">
        <v>2883</v>
      </c>
      <c r="T902" s="1529"/>
      <c r="U902" s="1529"/>
      <c r="V902" s="1529"/>
      <c r="W902" s="1529"/>
      <c r="X902" s="1529"/>
      <c r="Y902" s="1529"/>
      <c r="Z902" s="1529"/>
      <c r="AA902" s="1529"/>
      <c r="AB902" s="1529"/>
      <c r="AC902" s="1529"/>
      <c r="AD902" s="1529"/>
      <c r="AE902" s="1529"/>
      <c r="AF902" s="1529"/>
      <c r="AG902" s="1529"/>
    </row>
    <row r="903" spans="1:33" ht="27" hidden="1" thickBot="1">
      <c r="A903" s="1530"/>
      <c r="B903" s="1532"/>
      <c r="C903" s="1530"/>
      <c r="D903" s="1409" t="s">
        <v>2886</v>
      </c>
      <c r="E903" s="1409" t="s">
        <v>2129</v>
      </c>
      <c r="F903" s="1409" t="s">
        <v>2129</v>
      </c>
      <c r="G903" s="1409" t="s">
        <v>2129</v>
      </c>
      <c r="H903" s="1409" t="s">
        <v>2129</v>
      </c>
      <c r="I903" s="1409" t="s">
        <v>2129</v>
      </c>
      <c r="J903" s="1409" t="s">
        <v>2129</v>
      </c>
      <c r="K903" s="1409" t="s">
        <v>2129</v>
      </c>
      <c r="L903" s="1409" t="s">
        <v>2286</v>
      </c>
      <c r="M903" s="1409">
        <v>166</v>
      </c>
      <c r="N903" s="1409">
        <v>40</v>
      </c>
      <c r="O903" s="1409"/>
      <c r="P903" s="1409">
        <v>40</v>
      </c>
      <c r="Q903" s="1409"/>
      <c r="R903" s="1409"/>
      <c r="S903" s="1409" t="s">
        <v>2129</v>
      </c>
      <c r="T903" s="1409" t="s">
        <v>2129</v>
      </c>
      <c r="U903" s="1409" t="s">
        <v>2129</v>
      </c>
      <c r="V903" s="1409" t="s">
        <v>2129</v>
      </c>
      <c r="W903" s="1409" t="s">
        <v>2129</v>
      </c>
      <c r="X903" s="1409" t="s">
        <v>2129</v>
      </c>
      <c r="Y903" s="1409" t="s">
        <v>2129</v>
      </c>
      <c r="Z903" s="1409" t="s">
        <v>2129</v>
      </c>
      <c r="AA903" s="1409" t="s">
        <v>2129</v>
      </c>
      <c r="AB903" s="1409" t="s">
        <v>2129</v>
      </c>
      <c r="AC903" s="1409" t="s">
        <v>2129</v>
      </c>
      <c r="AD903" s="1409" t="s">
        <v>2129</v>
      </c>
      <c r="AE903" s="1409" t="s">
        <v>2129</v>
      </c>
      <c r="AF903" s="1409" t="s">
        <v>2129</v>
      </c>
      <c r="AG903" s="1409" t="s">
        <v>2129</v>
      </c>
    </row>
    <row r="904" spans="1:33" ht="18.75" hidden="1" thickBot="1">
      <c r="A904" s="1530"/>
      <c r="B904" s="1532"/>
      <c r="C904" s="1530"/>
      <c r="D904" s="1409" t="s">
        <v>2887</v>
      </c>
      <c r="E904" s="1409" t="s">
        <v>2129</v>
      </c>
      <c r="F904" s="1409" t="s">
        <v>2129</v>
      </c>
      <c r="G904" s="1409" t="s">
        <v>2129</v>
      </c>
      <c r="H904" s="1409" t="s">
        <v>2129</v>
      </c>
      <c r="I904" s="1409" t="s">
        <v>2129</v>
      </c>
      <c r="J904" s="1409" t="s">
        <v>2129</v>
      </c>
      <c r="K904" s="1409" t="s">
        <v>2129</v>
      </c>
      <c r="L904" s="1409" t="s">
        <v>2286</v>
      </c>
      <c r="M904" s="1409">
        <v>166</v>
      </c>
      <c r="N904" s="1409">
        <v>35</v>
      </c>
      <c r="O904" s="1409"/>
      <c r="P904" s="1409">
        <v>35</v>
      </c>
      <c r="Q904" s="1409"/>
      <c r="R904" s="1409"/>
      <c r="S904" s="1409" t="s">
        <v>2129</v>
      </c>
      <c r="T904" s="1409" t="s">
        <v>2129</v>
      </c>
      <c r="U904" s="1409" t="s">
        <v>2129</v>
      </c>
      <c r="V904" s="1409" t="s">
        <v>2129</v>
      </c>
      <c r="W904" s="1409" t="s">
        <v>2129</v>
      </c>
      <c r="X904" s="1409" t="s">
        <v>2129</v>
      </c>
      <c r="Y904" s="1409" t="s">
        <v>2129</v>
      </c>
      <c r="Z904" s="1409" t="s">
        <v>2129</v>
      </c>
      <c r="AA904" s="1409" t="s">
        <v>2129</v>
      </c>
      <c r="AB904" s="1409" t="s">
        <v>2129</v>
      </c>
      <c r="AC904" s="1409" t="s">
        <v>2129</v>
      </c>
      <c r="AD904" s="1409" t="s">
        <v>2129</v>
      </c>
      <c r="AE904" s="1409" t="s">
        <v>2129</v>
      </c>
      <c r="AF904" s="1409" t="s">
        <v>2129</v>
      </c>
      <c r="AG904" s="1409" t="s">
        <v>2129</v>
      </c>
    </row>
    <row r="905" spans="1:33" ht="15.75" hidden="1" thickBot="1">
      <c r="A905" s="1530"/>
      <c r="B905" s="1532"/>
      <c r="C905" s="1530"/>
      <c r="D905" s="1409" t="s">
        <v>2888</v>
      </c>
      <c r="E905" s="1409" t="s">
        <v>2129</v>
      </c>
      <c r="F905" s="1409" t="s">
        <v>2129</v>
      </c>
      <c r="G905" s="1409" t="s">
        <v>2129</v>
      </c>
      <c r="H905" s="1409" t="s">
        <v>2129</v>
      </c>
      <c r="I905" s="1409" t="s">
        <v>2129</v>
      </c>
      <c r="J905" s="1409" t="s">
        <v>2129</v>
      </c>
      <c r="K905" s="1409" t="s">
        <v>2129</v>
      </c>
      <c r="L905" s="1409" t="s">
        <v>2286</v>
      </c>
      <c r="M905" s="1409">
        <v>166</v>
      </c>
      <c r="N905" s="1409">
        <v>10</v>
      </c>
      <c r="O905" s="1409"/>
      <c r="P905" s="1409">
        <v>10</v>
      </c>
      <c r="Q905" s="1409"/>
      <c r="R905" s="1409"/>
      <c r="S905" s="1409" t="s">
        <v>2129</v>
      </c>
      <c r="T905" s="1409" t="s">
        <v>2129</v>
      </c>
      <c r="U905" s="1409" t="s">
        <v>2129</v>
      </c>
      <c r="V905" s="1409" t="s">
        <v>2129</v>
      </c>
      <c r="W905" s="1409" t="s">
        <v>2129</v>
      </c>
      <c r="X905" s="1409" t="s">
        <v>2129</v>
      </c>
      <c r="Y905" s="1409" t="s">
        <v>2129</v>
      </c>
      <c r="Z905" s="1409" t="s">
        <v>2129</v>
      </c>
      <c r="AA905" s="1409" t="s">
        <v>2129</v>
      </c>
      <c r="AB905" s="1409" t="s">
        <v>2129</v>
      </c>
      <c r="AC905" s="1409" t="s">
        <v>2129</v>
      </c>
      <c r="AD905" s="1409" t="s">
        <v>2129</v>
      </c>
      <c r="AE905" s="1409" t="s">
        <v>2129</v>
      </c>
      <c r="AF905" s="1409" t="s">
        <v>2129</v>
      </c>
      <c r="AG905" s="1409" t="s">
        <v>2129</v>
      </c>
    </row>
    <row r="906" spans="1:33" ht="27" hidden="1" thickBot="1">
      <c r="A906" s="1530"/>
      <c r="B906" s="1532"/>
      <c r="C906" s="1530"/>
      <c r="D906" s="1409" t="s">
        <v>2889</v>
      </c>
      <c r="E906" s="1409" t="s">
        <v>2129</v>
      </c>
      <c r="F906" s="1409" t="s">
        <v>2129</v>
      </c>
      <c r="G906" s="1409" t="s">
        <v>2129</v>
      </c>
      <c r="H906" s="1409" t="s">
        <v>2129</v>
      </c>
      <c r="I906" s="1409" t="s">
        <v>2129</v>
      </c>
      <c r="J906" s="1409" t="s">
        <v>2129</v>
      </c>
      <c r="K906" s="1409" t="s">
        <v>2129</v>
      </c>
      <c r="L906" s="1409" t="s">
        <v>2286</v>
      </c>
      <c r="M906" s="1409">
        <v>166</v>
      </c>
      <c r="N906" s="1409">
        <v>40</v>
      </c>
      <c r="O906" s="1409"/>
      <c r="P906" s="1409">
        <v>40</v>
      </c>
      <c r="Q906" s="1409"/>
      <c r="R906" s="1409"/>
      <c r="S906" s="1409" t="s">
        <v>2129</v>
      </c>
      <c r="T906" s="1409" t="s">
        <v>2129</v>
      </c>
      <c r="U906" s="1409" t="s">
        <v>2129</v>
      </c>
      <c r="V906" s="1409" t="s">
        <v>2129</v>
      </c>
      <c r="W906" s="1409" t="s">
        <v>2129</v>
      </c>
      <c r="X906" s="1409" t="s">
        <v>2129</v>
      </c>
      <c r="Y906" s="1409" t="s">
        <v>2129</v>
      </c>
      <c r="Z906" s="1409" t="s">
        <v>2129</v>
      </c>
      <c r="AA906" s="1409" t="s">
        <v>2129</v>
      </c>
      <c r="AB906" s="1409" t="s">
        <v>2129</v>
      </c>
      <c r="AC906" s="1409" t="s">
        <v>2129</v>
      </c>
      <c r="AD906" s="1409" t="s">
        <v>2129</v>
      </c>
      <c r="AE906" s="1409" t="s">
        <v>2129</v>
      </c>
      <c r="AF906" s="1409" t="s">
        <v>2129</v>
      </c>
      <c r="AG906" s="1409" t="s">
        <v>2129</v>
      </c>
    </row>
    <row r="907" spans="1:33" ht="15.75" hidden="1" thickBot="1">
      <c r="A907" s="1530"/>
      <c r="B907" s="1532"/>
      <c r="C907" s="1530"/>
      <c r="D907" s="1409" t="s">
        <v>2764</v>
      </c>
      <c r="E907" s="1409" t="s">
        <v>2129</v>
      </c>
      <c r="F907" s="1409" t="s">
        <v>2129</v>
      </c>
      <c r="G907" s="1409" t="s">
        <v>2129</v>
      </c>
      <c r="H907" s="1409" t="s">
        <v>2129</v>
      </c>
      <c r="I907" s="1409" t="s">
        <v>2129</v>
      </c>
      <c r="J907" s="1409" t="s">
        <v>2129</v>
      </c>
      <c r="K907" s="1409" t="s">
        <v>2129</v>
      </c>
      <c r="L907" s="1409" t="s">
        <v>2286</v>
      </c>
      <c r="M907" s="1409">
        <v>166</v>
      </c>
      <c r="N907" s="1409">
        <v>30</v>
      </c>
      <c r="O907" s="1409"/>
      <c r="P907" s="1409">
        <v>30</v>
      </c>
      <c r="Q907" s="1409"/>
      <c r="R907" s="1409"/>
      <c r="S907" s="1409" t="s">
        <v>2129</v>
      </c>
      <c r="T907" s="1409" t="s">
        <v>2129</v>
      </c>
      <c r="U907" s="1409" t="s">
        <v>2129</v>
      </c>
      <c r="V907" s="1409" t="s">
        <v>2129</v>
      </c>
      <c r="W907" s="1409" t="s">
        <v>2129</v>
      </c>
      <c r="X907" s="1409" t="s">
        <v>2129</v>
      </c>
      <c r="Y907" s="1409" t="s">
        <v>2129</v>
      </c>
      <c r="Z907" s="1409" t="s">
        <v>2129</v>
      </c>
      <c r="AA907" s="1409" t="s">
        <v>2129</v>
      </c>
      <c r="AB907" s="1409" t="s">
        <v>2129</v>
      </c>
      <c r="AC907" s="1409" t="s">
        <v>2129</v>
      </c>
      <c r="AD907" s="1409" t="s">
        <v>2129</v>
      </c>
      <c r="AE907" s="1409" t="s">
        <v>2129</v>
      </c>
      <c r="AF907" s="1409" t="s">
        <v>2129</v>
      </c>
      <c r="AG907" s="1409" t="s">
        <v>2129</v>
      </c>
    </row>
    <row r="908" spans="1:33" ht="15.75" hidden="1" thickBot="1">
      <c r="A908" s="1530"/>
      <c r="B908" s="1532"/>
      <c r="C908" s="1530"/>
      <c r="D908" s="1409" t="s">
        <v>2890</v>
      </c>
      <c r="E908" s="1409" t="s">
        <v>2129</v>
      </c>
      <c r="F908" s="1409" t="s">
        <v>2129</v>
      </c>
      <c r="G908" s="1409" t="s">
        <v>2129</v>
      </c>
      <c r="H908" s="1409" t="s">
        <v>2129</v>
      </c>
      <c r="I908" s="1409" t="s">
        <v>2129</v>
      </c>
      <c r="J908" s="1409" t="s">
        <v>2129</v>
      </c>
      <c r="K908" s="1409" t="s">
        <v>2129</v>
      </c>
      <c r="L908" s="1409" t="s">
        <v>2286</v>
      </c>
      <c r="M908" s="1409">
        <v>166</v>
      </c>
      <c r="N908" s="1409">
        <v>30</v>
      </c>
      <c r="O908" s="1409"/>
      <c r="P908" s="1409">
        <v>30</v>
      </c>
      <c r="Q908" s="1409"/>
      <c r="R908" s="1409"/>
      <c r="S908" s="1409" t="s">
        <v>2129</v>
      </c>
      <c r="T908" s="1409" t="s">
        <v>2129</v>
      </c>
      <c r="U908" s="1409" t="s">
        <v>2129</v>
      </c>
      <c r="V908" s="1409" t="s">
        <v>2129</v>
      </c>
      <c r="W908" s="1409" t="s">
        <v>2129</v>
      </c>
      <c r="X908" s="1409" t="s">
        <v>2129</v>
      </c>
      <c r="Y908" s="1409" t="s">
        <v>2129</v>
      </c>
      <c r="Z908" s="1409" t="s">
        <v>2129</v>
      </c>
      <c r="AA908" s="1409" t="s">
        <v>2129</v>
      </c>
      <c r="AB908" s="1409" t="s">
        <v>2129</v>
      </c>
      <c r="AC908" s="1409" t="s">
        <v>2129</v>
      </c>
      <c r="AD908" s="1409" t="s">
        <v>2129</v>
      </c>
      <c r="AE908" s="1409" t="s">
        <v>2129</v>
      </c>
      <c r="AF908" s="1409" t="s">
        <v>2129</v>
      </c>
      <c r="AG908" s="1409" t="s">
        <v>2129</v>
      </c>
    </row>
    <row r="909" spans="1:33" ht="15.75" hidden="1" thickBot="1">
      <c r="A909" s="1530"/>
      <c r="B909" s="1532"/>
      <c r="C909" s="1530"/>
      <c r="D909" s="1409" t="s">
        <v>2298</v>
      </c>
      <c r="E909" s="1409" t="s">
        <v>2129</v>
      </c>
      <c r="F909" s="1409" t="s">
        <v>2129</v>
      </c>
      <c r="G909" s="1409" t="s">
        <v>2129</v>
      </c>
      <c r="H909" s="1409" t="s">
        <v>2129</v>
      </c>
      <c r="I909" s="1409" t="s">
        <v>2129</v>
      </c>
      <c r="J909" s="1409" t="s">
        <v>2129</v>
      </c>
      <c r="K909" s="1409" t="s">
        <v>2129</v>
      </c>
      <c r="L909" s="1409" t="s">
        <v>2286</v>
      </c>
      <c r="M909" s="1409">
        <v>166</v>
      </c>
      <c r="N909" s="1409">
        <v>25</v>
      </c>
      <c r="O909" s="1409"/>
      <c r="P909" s="1409">
        <v>25</v>
      </c>
      <c r="Q909" s="1409"/>
      <c r="R909" s="1409"/>
      <c r="S909" s="1409" t="s">
        <v>2129</v>
      </c>
      <c r="T909" s="1409" t="s">
        <v>2129</v>
      </c>
      <c r="U909" s="1409" t="s">
        <v>2129</v>
      </c>
      <c r="V909" s="1409" t="s">
        <v>2129</v>
      </c>
      <c r="W909" s="1409" t="s">
        <v>2129</v>
      </c>
      <c r="X909" s="1409" t="s">
        <v>2129</v>
      </c>
      <c r="Y909" s="1409" t="s">
        <v>2129</v>
      </c>
      <c r="Z909" s="1409" t="s">
        <v>2129</v>
      </c>
      <c r="AA909" s="1409" t="s">
        <v>2129</v>
      </c>
      <c r="AB909" s="1409" t="s">
        <v>2129</v>
      </c>
      <c r="AC909" s="1409" t="s">
        <v>2129</v>
      </c>
      <c r="AD909" s="1409" t="s">
        <v>2129</v>
      </c>
      <c r="AE909" s="1409" t="s">
        <v>2129</v>
      </c>
      <c r="AF909" s="1409" t="s">
        <v>2129</v>
      </c>
      <c r="AG909" s="1409" t="s">
        <v>2129</v>
      </c>
    </row>
    <row r="910" spans="1:33" ht="18.75" hidden="1" thickBot="1">
      <c r="A910" s="1530"/>
      <c r="B910" s="1532"/>
      <c r="C910" s="1530"/>
      <c r="D910" s="1409" t="s">
        <v>2891</v>
      </c>
      <c r="E910" s="1409" t="s">
        <v>2129</v>
      </c>
      <c r="F910" s="1409" t="s">
        <v>2129</v>
      </c>
      <c r="G910" s="1409" t="s">
        <v>2129</v>
      </c>
      <c r="H910" s="1409" t="s">
        <v>2129</v>
      </c>
      <c r="I910" s="1409" t="s">
        <v>2129</v>
      </c>
      <c r="J910" s="1409" t="s">
        <v>2129</v>
      </c>
      <c r="K910" s="1409" t="s">
        <v>2129</v>
      </c>
      <c r="L910" s="1409" t="s">
        <v>2286</v>
      </c>
      <c r="M910" s="1409">
        <v>166</v>
      </c>
      <c r="N910" s="1409">
        <v>40</v>
      </c>
      <c r="O910" s="1409"/>
      <c r="P910" s="1409">
        <v>40</v>
      </c>
      <c r="Q910" s="1409"/>
      <c r="R910" s="1409"/>
      <c r="S910" s="1409" t="s">
        <v>2129</v>
      </c>
      <c r="T910" s="1409" t="s">
        <v>2129</v>
      </c>
      <c r="U910" s="1409" t="s">
        <v>2129</v>
      </c>
      <c r="V910" s="1409" t="s">
        <v>2129</v>
      </c>
      <c r="W910" s="1409" t="s">
        <v>2129</v>
      </c>
      <c r="X910" s="1409" t="s">
        <v>2129</v>
      </c>
      <c r="Y910" s="1409" t="s">
        <v>2129</v>
      </c>
      <c r="Z910" s="1409" t="s">
        <v>2129</v>
      </c>
      <c r="AA910" s="1409" t="s">
        <v>2129</v>
      </c>
      <c r="AB910" s="1409" t="s">
        <v>2129</v>
      </c>
      <c r="AC910" s="1409" t="s">
        <v>2129</v>
      </c>
      <c r="AD910" s="1409" t="s">
        <v>2129</v>
      </c>
      <c r="AE910" s="1409" t="s">
        <v>2129</v>
      </c>
      <c r="AF910" s="1409" t="s">
        <v>2129</v>
      </c>
      <c r="AG910" s="1409" t="s">
        <v>2129</v>
      </c>
    </row>
    <row r="911" spans="1:33" ht="15.75" hidden="1" thickBot="1">
      <c r="A911" s="1530"/>
      <c r="B911" s="1532"/>
      <c r="C911" s="1530"/>
      <c r="D911" s="1409" t="s">
        <v>2892</v>
      </c>
      <c r="E911" s="1409" t="s">
        <v>2129</v>
      </c>
      <c r="F911" s="1409" t="s">
        <v>2129</v>
      </c>
      <c r="G911" s="1409" t="s">
        <v>2129</v>
      </c>
      <c r="H911" s="1409" t="s">
        <v>2129</v>
      </c>
      <c r="I911" s="1409" t="s">
        <v>2129</v>
      </c>
      <c r="J911" s="1409" t="s">
        <v>2129</v>
      </c>
      <c r="K911" s="1409" t="s">
        <v>2129</v>
      </c>
      <c r="L911" s="1409" t="s">
        <v>2286</v>
      </c>
      <c r="M911" s="1409">
        <v>166</v>
      </c>
      <c r="N911" s="1409">
        <v>10</v>
      </c>
      <c r="O911" s="1409"/>
      <c r="P911" s="1409">
        <v>10</v>
      </c>
      <c r="Q911" s="1409"/>
      <c r="R911" s="1409"/>
      <c r="S911" s="1409" t="s">
        <v>2129</v>
      </c>
      <c r="T911" s="1409" t="s">
        <v>2129</v>
      </c>
      <c r="U911" s="1409" t="s">
        <v>2129</v>
      </c>
      <c r="V911" s="1409" t="s">
        <v>2129</v>
      </c>
      <c r="W911" s="1409" t="s">
        <v>2129</v>
      </c>
      <c r="X911" s="1409" t="s">
        <v>2129</v>
      </c>
      <c r="Y911" s="1409" t="s">
        <v>2129</v>
      </c>
      <c r="Z911" s="1409" t="s">
        <v>2129</v>
      </c>
      <c r="AA911" s="1409" t="s">
        <v>2129</v>
      </c>
      <c r="AB911" s="1409" t="s">
        <v>2129</v>
      </c>
      <c r="AC911" s="1409" t="s">
        <v>2129</v>
      </c>
      <c r="AD911" s="1409" t="s">
        <v>2129</v>
      </c>
      <c r="AE911" s="1409" t="s">
        <v>2129</v>
      </c>
      <c r="AF911" s="1409" t="s">
        <v>2129</v>
      </c>
      <c r="AG911" s="1409" t="s">
        <v>2129</v>
      </c>
    </row>
    <row r="912" spans="1:33" ht="18.75" hidden="1" thickBot="1">
      <c r="A912" s="1530"/>
      <c r="B912" s="1532"/>
      <c r="C912" s="1530"/>
      <c r="D912" s="1409" t="s">
        <v>2893</v>
      </c>
      <c r="E912" s="1409" t="s">
        <v>2129</v>
      </c>
      <c r="F912" s="1409" t="s">
        <v>2129</v>
      </c>
      <c r="G912" s="1409" t="s">
        <v>2129</v>
      </c>
      <c r="H912" s="1409" t="s">
        <v>2129</v>
      </c>
      <c r="I912" s="1409" t="s">
        <v>2129</v>
      </c>
      <c r="J912" s="1409" t="s">
        <v>2129</v>
      </c>
      <c r="K912" s="1409" t="s">
        <v>2129</v>
      </c>
      <c r="L912" s="1409" t="s">
        <v>2286</v>
      </c>
      <c r="M912" s="1409">
        <v>166</v>
      </c>
      <c r="N912" s="1409">
        <v>25</v>
      </c>
      <c r="O912" s="1409"/>
      <c r="P912" s="1409">
        <v>25</v>
      </c>
      <c r="Q912" s="1409"/>
      <c r="R912" s="1409"/>
      <c r="S912" s="1409" t="s">
        <v>2129</v>
      </c>
      <c r="T912" s="1409" t="s">
        <v>2129</v>
      </c>
      <c r="U912" s="1409" t="s">
        <v>2129</v>
      </c>
      <c r="V912" s="1409" t="s">
        <v>2129</v>
      </c>
      <c r="W912" s="1409" t="s">
        <v>2129</v>
      </c>
      <c r="X912" s="1409" t="s">
        <v>2129</v>
      </c>
      <c r="Y912" s="1409" t="s">
        <v>2129</v>
      </c>
      <c r="Z912" s="1409" t="s">
        <v>2129</v>
      </c>
      <c r="AA912" s="1409" t="s">
        <v>2129</v>
      </c>
      <c r="AB912" s="1409" t="s">
        <v>2129</v>
      </c>
      <c r="AC912" s="1409" t="s">
        <v>2129</v>
      </c>
      <c r="AD912" s="1409" t="s">
        <v>2129</v>
      </c>
      <c r="AE912" s="1409" t="s">
        <v>2129</v>
      </c>
      <c r="AF912" s="1409" t="s">
        <v>2129</v>
      </c>
      <c r="AG912" s="1409" t="s">
        <v>2129</v>
      </c>
    </row>
    <row r="913" spans="1:33" ht="15.75" hidden="1" thickBot="1">
      <c r="A913" s="1530"/>
      <c r="B913" s="1532"/>
      <c r="C913" s="1530"/>
      <c r="D913" s="1409" t="s">
        <v>2894</v>
      </c>
      <c r="E913" s="1409" t="s">
        <v>2129</v>
      </c>
      <c r="F913" s="1409" t="s">
        <v>2129</v>
      </c>
      <c r="G913" s="1409" t="s">
        <v>2129</v>
      </c>
      <c r="H913" s="1409" t="s">
        <v>2129</v>
      </c>
      <c r="I913" s="1409" t="s">
        <v>2129</v>
      </c>
      <c r="J913" s="1409" t="s">
        <v>2129</v>
      </c>
      <c r="K913" s="1409" t="s">
        <v>2129</v>
      </c>
      <c r="L913" s="1409" t="s">
        <v>2286</v>
      </c>
      <c r="M913" s="1409">
        <v>166</v>
      </c>
      <c r="N913" s="1409">
        <v>30</v>
      </c>
      <c r="O913" s="1409"/>
      <c r="P913" s="1409">
        <v>30</v>
      </c>
      <c r="Q913" s="1409"/>
      <c r="R913" s="1409"/>
      <c r="S913" s="1409" t="s">
        <v>2129</v>
      </c>
      <c r="T913" s="1409" t="s">
        <v>2129</v>
      </c>
      <c r="U913" s="1409" t="s">
        <v>2129</v>
      </c>
      <c r="V913" s="1409" t="s">
        <v>2129</v>
      </c>
      <c r="W913" s="1409" t="s">
        <v>2129</v>
      </c>
      <c r="X913" s="1409" t="s">
        <v>2129</v>
      </c>
      <c r="Y913" s="1409" t="s">
        <v>2129</v>
      </c>
      <c r="Z913" s="1409" t="s">
        <v>2129</v>
      </c>
      <c r="AA913" s="1409" t="s">
        <v>2129</v>
      </c>
      <c r="AB913" s="1409" t="s">
        <v>2129</v>
      </c>
      <c r="AC913" s="1409" t="s">
        <v>2129</v>
      </c>
      <c r="AD913" s="1409" t="s">
        <v>2129</v>
      </c>
      <c r="AE913" s="1409" t="s">
        <v>2129</v>
      </c>
      <c r="AF913" s="1409" t="s">
        <v>2129</v>
      </c>
      <c r="AG913" s="1409" t="s">
        <v>2129</v>
      </c>
    </row>
    <row r="914" spans="1:33" ht="18.75" hidden="1" thickBot="1">
      <c r="A914" s="1529"/>
      <c r="B914" s="1533"/>
      <c r="C914" s="1529"/>
      <c r="D914" s="1409" t="s">
        <v>2895</v>
      </c>
      <c r="E914" s="1409" t="s">
        <v>2129</v>
      </c>
      <c r="F914" s="1409" t="s">
        <v>2129</v>
      </c>
      <c r="G914" s="1409" t="s">
        <v>2129</v>
      </c>
      <c r="H914" s="1409" t="s">
        <v>2129</v>
      </c>
      <c r="I914" s="1409" t="s">
        <v>2129</v>
      </c>
      <c r="J914" s="1409" t="s">
        <v>2129</v>
      </c>
      <c r="K914" s="1409" t="s">
        <v>2129</v>
      </c>
      <c r="L914" s="1409" t="s">
        <v>2286</v>
      </c>
      <c r="M914" s="1409">
        <v>166</v>
      </c>
      <c r="N914" s="1409">
        <v>20</v>
      </c>
      <c r="O914" s="1409"/>
      <c r="P914" s="1409">
        <v>20</v>
      </c>
      <c r="Q914" s="1409"/>
      <c r="R914" s="1409"/>
      <c r="S914" s="1409" t="s">
        <v>2129</v>
      </c>
      <c r="T914" s="1409" t="s">
        <v>2129</v>
      </c>
      <c r="U914" s="1409" t="s">
        <v>2129</v>
      </c>
      <c r="V914" s="1409" t="s">
        <v>2129</v>
      </c>
      <c r="W914" s="1409" t="s">
        <v>2129</v>
      </c>
      <c r="X914" s="1409" t="s">
        <v>2129</v>
      </c>
      <c r="Y914" s="1409" t="s">
        <v>2129</v>
      </c>
      <c r="Z914" s="1409" t="s">
        <v>2129</v>
      </c>
      <c r="AA914" s="1409" t="s">
        <v>2129</v>
      </c>
      <c r="AB914" s="1409" t="s">
        <v>2129</v>
      </c>
      <c r="AC914" s="1409" t="s">
        <v>2129</v>
      </c>
      <c r="AD914" s="1409" t="s">
        <v>2129</v>
      </c>
      <c r="AE914" s="1409" t="s">
        <v>2129</v>
      </c>
      <c r="AF914" s="1409" t="s">
        <v>2129</v>
      </c>
      <c r="AG914" s="1409" t="s">
        <v>2129</v>
      </c>
    </row>
    <row r="915" spans="1:33" ht="23.25" customHeight="1" thickBot="1">
      <c r="A915" s="1528">
        <v>120</v>
      </c>
      <c r="B915" s="1531">
        <v>1.7224300000000002E+35</v>
      </c>
      <c r="C915" s="1528" t="s">
        <v>2896</v>
      </c>
      <c r="D915" s="1528"/>
      <c r="E915" s="1528">
        <v>87489.600000000006</v>
      </c>
      <c r="F915" s="1528"/>
      <c r="G915" s="1528">
        <v>87489.600000000006</v>
      </c>
      <c r="H915" s="1528">
        <v>0</v>
      </c>
      <c r="I915" s="1528">
        <v>87489.600000000006</v>
      </c>
      <c r="J915" s="1528">
        <v>0</v>
      </c>
      <c r="K915" s="1528">
        <v>0</v>
      </c>
      <c r="L915" s="1528" t="s">
        <v>2129</v>
      </c>
      <c r="M915" s="1528" t="s">
        <v>2129</v>
      </c>
      <c r="N915" s="1528" t="s">
        <v>2129</v>
      </c>
      <c r="O915" s="1528" t="s">
        <v>2129</v>
      </c>
      <c r="P915" s="1528" t="s">
        <v>2129</v>
      </c>
      <c r="Q915" s="1528" t="s">
        <v>2129</v>
      </c>
      <c r="R915" s="1528" t="s">
        <v>2129</v>
      </c>
      <c r="S915" s="1410" t="s">
        <v>2149</v>
      </c>
      <c r="T915" s="1528">
        <v>874.9</v>
      </c>
      <c r="U915" s="1528">
        <v>4374.4799999999996</v>
      </c>
      <c r="V915" s="1528">
        <v>12.201700000000001</v>
      </c>
      <c r="W915" s="1528">
        <v>7.2018000000000004</v>
      </c>
      <c r="X915" s="1528" t="s">
        <v>2281</v>
      </c>
      <c r="Y915" s="1528" t="s">
        <v>2132</v>
      </c>
      <c r="Z915" s="1528" t="s">
        <v>2282</v>
      </c>
      <c r="AA915" s="1528"/>
      <c r="AB915" s="1528"/>
      <c r="AC915" s="1528"/>
      <c r="AD915" s="1528" t="s">
        <v>2133</v>
      </c>
      <c r="AE915" s="1528"/>
      <c r="AF915" s="1528" t="s">
        <v>2283</v>
      </c>
      <c r="AG915" s="1528"/>
    </row>
    <row r="916" spans="1:33" ht="93" hidden="1" thickBot="1">
      <c r="A916" s="1530"/>
      <c r="B916" s="1532"/>
      <c r="C916" s="1530"/>
      <c r="D916" s="1529"/>
      <c r="E916" s="1529"/>
      <c r="F916" s="1529"/>
      <c r="G916" s="1529"/>
      <c r="H916" s="1529"/>
      <c r="I916" s="1529"/>
      <c r="J916" s="1529"/>
      <c r="K916" s="1529"/>
      <c r="L916" s="1529"/>
      <c r="M916" s="1529"/>
      <c r="N916" s="1529"/>
      <c r="O916" s="1529"/>
      <c r="P916" s="1529"/>
      <c r="Q916" s="1529"/>
      <c r="R916" s="1529"/>
      <c r="S916" s="1409" t="s">
        <v>2897</v>
      </c>
      <c r="T916" s="1529"/>
      <c r="U916" s="1529"/>
      <c r="V916" s="1529"/>
      <c r="W916" s="1529"/>
      <c r="X916" s="1529"/>
      <c r="Y916" s="1529"/>
      <c r="Z916" s="1529"/>
      <c r="AA916" s="1529"/>
      <c r="AB916" s="1529"/>
      <c r="AC916" s="1529"/>
      <c r="AD916" s="1529"/>
      <c r="AE916" s="1529"/>
      <c r="AF916" s="1529"/>
      <c r="AG916" s="1529"/>
    </row>
    <row r="917" spans="1:33" ht="15.75" hidden="1" thickBot="1">
      <c r="A917" s="1530"/>
      <c r="B917" s="1532"/>
      <c r="C917" s="1530"/>
      <c r="D917" s="1409" t="s">
        <v>2898</v>
      </c>
      <c r="E917" s="1409" t="s">
        <v>2129</v>
      </c>
      <c r="F917" s="1409" t="s">
        <v>2129</v>
      </c>
      <c r="G917" s="1409" t="s">
        <v>2129</v>
      </c>
      <c r="H917" s="1409" t="s">
        <v>2129</v>
      </c>
      <c r="I917" s="1409" t="s">
        <v>2129</v>
      </c>
      <c r="J917" s="1409" t="s">
        <v>2129</v>
      </c>
      <c r="K917" s="1409" t="s">
        <v>2129</v>
      </c>
      <c r="L917" s="1409" t="s">
        <v>2166</v>
      </c>
      <c r="M917" s="1409">
        <v>796</v>
      </c>
      <c r="N917" s="1409">
        <v>216</v>
      </c>
      <c r="O917" s="1409"/>
      <c r="P917" s="1409">
        <v>216</v>
      </c>
      <c r="Q917" s="1409"/>
      <c r="R917" s="1409"/>
      <c r="S917" s="1409" t="s">
        <v>2129</v>
      </c>
      <c r="T917" s="1409" t="s">
        <v>2129</v>
      </c>
      <c r="U917" s="1409" t="s">
        <v>2129</v>
      </c>
      <c r="V917" s="1409" t="s">
        <v>2129</v>
      </c>
      <c r="W917" s="1409" t="s">
        <v>2129</v>
      </c>
      <c r="X917" s="1409" t="s">
        <v>2129</v>
      </c>
      <c r="Y917" s="1409" t="s">
        <v>2129</v>
      </c>
      <c r="Z917" s="1409" t="s">
        <v>2129</v>
      </c>
      <c r="AA917" s="1409" t="s">
        <v>2129</v>
      </c>
      <c r="AB917" s="1409" t="s">
        <v>2129</v>
      </c>
      <c r="AC917" s="1409" t="s">
        <v>2129</v>
      </c>
      <c r="AD917" s="1409" t="s">
        <v>2129</v>
      </c>
      <c r="AE917" s="1409" t="s">
        <v>2129</v>
      </c>
      <c r="AF917" s="1409" t="s">
        <v>2129</v>
      </c>
      <c r="AG917" s="1409" t="s">
        <v>2129</v>
      </c>
    </row>
    <row r="918" spans="1:33" ht="18.75" hidden="1" thickBot="1">
      <c r="A918" s="1530"/>
      <c r="B918" s="1532"/>
      <c r="C918" s="1530"/>
      <c r="D918" s="1409" t="s">
        <v>2899</v>
      </c>
      <c r="E918" s="1409" t="s">
        <v>2129</v>
      </c>
      <c r="F918" s="1409" t="s">
        <v>2129</v>
      </c>
      <c r="G918" s="1409" t="s">
        <v>2129</v>
      </c>
      <c r="H918" s="1409" t="s">
        <v>2129</v>
      </c>
      <c r="I918" s="1409" t="s">
        <v>2129</v>
      </c>
      <c r="J918" s="1409" t="s">
        <v>2129</v>
      </c>
      <c r="K918" s="1409" t="s">
        <v>2129</v>
      </c>
      <c r="L918" s="1409" t="s">
        <v>2166</v>
      </c>
      <c r="M918" s="1409">
        <v>796</v>
      </c>
      <c r="N918" s="1409">
        <v>360</v>
      </c>
      <c r="O918" s="1409"/>
      <c r="P918" s="1409">
        <v>360</v>
      </c>
      <c r="Q918" s="1409"/>
      <c r="R918" s="1409"/>
      <c r="S918" s="1409" t="s">
        <v>2129</v>
      </c>
      <c r="T918" s="1409" t="s">
        <v>2129</v>
      </c>
      <c r="U918" s="1409" t="s">
        <v>2129</v>
      </c>
      <c r="V918" s="1409" t="s">
        <v>2129</v>
      </c>
      <c r="W918" s="1409" t="s">
        <v>2129</v>
      </c>
      <c r="X918" s="1409" t="s">
        <v>2129</v>
      </c>
      <c r="Y918" s="1409" t="s">
        <v>2129</v>
      </c>
      <c r="Z918" s="1409" t="s">
        <v>2129</v>
      </c>
      <c r="AA918" s="1409" t="s">
        <v>2129</v>
      </c>
      <c r="AB918" s="1409" t="s">
        <v>2129</v>
      </c>
      <c r="AC918" s="1409" t="s">
        <v>2129</v>
      </c>
      <c r="AD918" s="1409" t="s">
        <v>2129</v>
      </c>
      <c r="AE918" s="1409" t="s">
        <v>2129</v>
      </c>
      <c r="AF918" s="1409" t="s">
        <v>2129</v>
      </c>
      <c r="AG918" s="1409" t="s">
        <v>2129</v>
      </c>
    </row>
    <row r="919" spans="1:33" ht="15.75" hidden="1" thickBot="1">
      <c r="A919" s="1530"/>
      <c r="B919" s="1532"/>
      <c r="C919" s="1530"/>
      <c r="D919" s="1409" t="s">
        <v>2898</v>
      </c>
      <c r="E919" s="1409" t="s">
        <v>2129</v>
      </c>
      <c r="F919" s="1409" t="s">
        <v>2129</v>
      </c>
      <c r="G919" s="1409" t="s">
        <v>2129</v>
      </c>
      <c r="H919" s="1409" t="s">
        <v>2129</v>
      </c>
      <c r="I919" s="1409" t="s">
        <v>2129</v>
      </c>
      <c r="J919" s="1409" t="s">
        <v>2129</v>
      </c>
      <c r="K919" s="1409" t="s">
        <v>2129</v>
      </c>
      <c r="L919" s="1409" t="s">
        <v>2166</v>
      </c>
      <c r="M919" s="1409">
        <v>796</v>
      </c>
      <c r="N919" s="1409">
        <v>120</v>
      </c>
      <c r="O919" s="1409"/>
      <c r="P919" s="1409">
        <v>120</v>
      </c>
      <c r="Q919" s="1409"/>
      <c r="R919" s="1409"/>
      <c r="S919" s="1409" t="s">
        <v>2129</v>
      </c>
      <c r="T919" s="1409" t="s">
        <v>2129</v>
      </c>
      <c r="U919" s="1409" t="s">
        <v>2129</v>
      </c>
      <c r="V919" s="1409" t="s">
        <v>2129</v>
      </c>
      <c r="W919" s="1409" t="s">
        <v>2129</v>
      </c>
      <c r="X919" s="1409" t="s">
        <v>2129</v>
      </c>
      <c r="Y919" s="1409" t="s">
        <v>2129</v>
      </c>
      <c r="Z919" s="1409" t="s">
        <v>2129</v>
      </c>
      <c r="AA919" s="1409" t="s">
        <v>2129</v>
      </c>
      <c r="AB919" s="1409" t="s">
        <v>2129</v>
      </c>
      <c r="AC919" s="1409" t="s">
        <v>2129</v>
      </c>
      <c r="AD919" s="1409" t="s">
        <v>2129</v>
      </c>
      <c r="AE919" s="1409" t="s">
        <v>2129</v>
      </c>
      <c r="AF919" s="1409" t="s">
        <v>2129</v>
      </c>
      <c r="AG919" s="1409" t="s">
        <v>2129</v>
      </c>
    </row>
    <row r="920" spans="1:33" ht="18.75" hidden="1" thickBot="1">
      <c r="A920" s="1530"/>
      <c r="B920" s="1532"/>
      <c r="C920" s="1530"/>
      <c r="D920" s="1409" t="s">
        <v>2899</v>
      </c>
      <c r="E920" s="1409" t="s">
        <v>2129</v>
      </c>
      <c r="F920" s="1409" t="s">
        <v>2129</v>
      </c>
      <c r="G920" s="1409" t="s">
        <v>2129</v>
      </c>
      <c r="H920" s="1409" t="s">
        <v>2129</v>
      </c>
      <c r="I920" s="1409" t="s">
        <v>2129</v>
      </c>
      <c r="J920" s="1409" t="s">
        <v>2129</v>
      </c>
      <c r="K920" s="1409" t="s">
        <v>2129</v>
      </c>
      <c r="L920" s="1409" t="s">
        <v>2166</v>
      </c>
      <c r="M920" s="1409">
        <v>796</v>
      </c>
      <c r="N920" s="1409">
        <v>216</v>
      </c>
      <c r="O920" s="1409"/>
      <c r="P920" s="1409">
        <v>216</v>
      </c>
      <c r="Q920" s="1409"/>
      <c r="R920" s="1409"/>
      <c r="S920" s="1409" t="s">
        <v>2129</v>
      </c>
      <c r="T920" s="1409" t="s">
        <v>2129</v>
      </c>
      <c r="U920" s="1409" t="s">
        <v>2129</v>
      </c>
      <c r="V920" s="1409" t="s">
        <v>2129</v>
      </c>
      <c r="W920" s="1409" t="s">
        <v>2129</v>
      </c>
      <c r="X920" s="1409" t="s">
        <v>2129</v>
      </c>
      <c r="Y920" s="1409" t="s">
        <v>2129</v>
      </c>
      <c r="Z920" s="1409" t="s">
        <v>2129</v>
      </c>
      <c r="AA920" s="1409" t="s">
        <v>2129</v>
      </c>
      <c r="AB920" s="1409" t="s">
        <v>2129</v>
      </c>
      <c r="AC920" s="1409" t="s">
        <v>2129</v>
      </c>
      <c r="AD920" s="1409" t="s">
        <v>2129</v>
      </c>
      <c r="AE920" s="1409" t="s">
        <v>2129</v>
      </c>
      <c r="AF920" s="1409" t="s">
        <v>2129</v>
      </c>
      <c r="AG920" s="1409" t="s">
        <v>2129</v>
      </c>
    </row>
    <row r="921" spans="1:33" ht="27" hidden="1" thickBot="1">
      <c r="A921" s="1529"/>
      <c r="B921" s="1533"/>
      <c r="C921" s="1529"/>
      <c r="D921" s="1409" t="s">
        <v>2900</v>
      </c>
      <c r="E921" s="1409" t="s">
        <v>2129</v>
      </c>
      <c r="F921" s="1409" t="s">
        <v>2129</v>
      </c>
      <c r="G921" s="1409" t="s">
        <v>2129</v>
      </c>
      <c r="H921" s="1409" t="s">
        <v>2129</v>
      </c>
      <c r="I921" s="1409" t="s">
        <v>2129</v>
      </c>
      <c r="J921" s="1409" t="s">
        <v>2129</v>
      </c>
      <c r="K921" s="1409" t="s">
        <v>2129</v>
      </c>
      <c r="L921" s="1409" t="s">
        <v>2166</v>
      </c>
      <c r="M921" s="1409">
        <v>796</v>
      </c>
      <c r="N921" s="1409">
        <v>216</v>
      </c>
      <c r="O921" s="1409"/>
      <c r="P921" s="1409">
        <v>216</v>
      </c>
      <c r="Q921" s="1409"/>
      <c r="R921" s="1409"/>
      <c r="S921" s="1409" t="s">
        <v>2129</v>
      </c>
      <c r="T921" s="1409" t="s">
        <v>2129</v>
      </c>
      <c r="U921" s="1409" t="s">
        <v>2129</v>
      </c>
      <c r="V921" s="1409" t="s">
        <v>2129</v>
      </c>
      <c r="W921" s="1409" t="s">
        <v>2129</v>
      </c>
      <c r="X921" s="1409" t="s">
        <v>2129</v>
      </c>
      <c r="Y921" s="1409" t="s">
        <v>2129</v>
      </c>
      <c r="Z921" s="1409" t="s">
        <v>2129</v>
      </c>
      <c r="AA921" s="1409" t="s">
        <v>2129</v>
      </c>
      <c r="AB921" s="1409" t="s">
        <v>2129</v>
      </c>
      <c r="AC921" s="1409" t="s">
        <v>2129</v>
      </c>
      <c r="AD921" s="1409" t="s">
        <v>2129</v>
      </c>
      <c r="AE921" s="1409" t="s">
        <v>2129</v>
      </c>
      <c r="AF921" s="1409" t="s">
        <v>2129</v>
      </c>
      <c r="AG921" s="1409" t="s">
        <v>2129</v>
      </c>
    </row>
    <row r="922" spans="1:33" ht="23.25" customHeight="1" thickBot="1">
      <c r="A922" s="1528">
        <v>121</v>
      </c>
      <c r="B922" s="1531">
        <v>1.7224300000000002E+35</v>
      </c>
      <c r="C922" s="1528" t="s">
        <v>2901</v>
      </c>
      <c r="D922" s="1528"/>
      <c r="E922" s="1528">
        <v>119906.04</v>
      </c>
      <c r="F922" s="1528"/>
      <c r="G922" s="1528">
        <v>119906.04</v>
      </c>
      <c r="H922" s="1528">
        <v>0</v>
      </c>
      <c r="I922" s="1528">
        <v>119906.04</v>
      </c>
      <c r="J922" s="1528">
        <v>0</v>
      </c>
      <c r="K922" s="1528">
        <v>0</v>
      </c>
      <c r="L922" s="1528" t="s">
        <v>2129</v>
      </c>
      <c r="M922" s="1528" t="s">
        <v>2129</v>
      </c>
      <c r="N922" s="1528" t="s">
        <v>2129</v>
      </c>
      <c r="O922" s="1528" t="s">
        <v>2129</v>
      </c>
      <c r="P922" s="1528" t="s">
        <v>2129</v>
      </c>
      <c r="Q922" s="1528" t="s">
        <v>2129</v>
      </c>
      <c r="R922" s="1528" t="s">
        <v>2129</v>
      </c>
      <c r="S922" s="1410" t="s">
        <v>2149</v>
      </c>
      <c r="T922" s="1528">
        <v>1199.06</v>
      </c>
      <c r="U922" s="1528">
        <v>5995.3</v>
      </c>
      <c r="V922" s="1528">
        <v>12.201700000000001</v>
      </c>
      <c r="W922" s="1528">
        <v>7.2018000000000004</v>
      </c>
      <c r="X922" s="1528" t="s">
        <v>2281</v>
      </c>
      <c r="Y922" s="1528" t="s">
        <v>2132</v>
      </c>
      <c r="Z922" s="1528" t="s">
        <v>2282</v>
      </c>
      <c r="AA922" s="1528"/>
      <c r="AB922" s="1528"/>
      <c r="AC922" s="1528"/>
      <c r="AD922" s="1528" t="s">
        <v>2133</v>
      </c>
      <c r="AE922" s="1528"/>
      <c r="AF922" s="1528" t="s">
        <v>2283</v>
      </c>
      <c r="AG922" s="1528"/>
    </row>
    <row r="923" spans="1:33" ht="93" hidden="1" thickBot="1">
      <c r="A923" s="1530"/>
      <c r="B923" s="1532"/>
      <c r="C923" s="1530"/>
      <c r="D923" s="1529"/>
      <c r="E923" s="1529"/>
      <c r="F923" s="1529"/>
      <c r="G923" s="1529"/>
      <c r="H923" s="1529"/>
      <c r="I923" s="1529"/>
      <c r="J923" s="1529"/>
      <c r="K923" s="1529"/>
      <c r="L923" s="1529"/>
      <c r="M923" s="1529"/>
      <c r="N923" s="1529"/>
      <c r="O923" s="1529"/>
      <c r="P923" s="1529"/>
      <c r="Q923" s="1529"/>
      <c r="R923" s="1529"/>
      <c r="S923" s="1409" t="s">
        <v>2883</v>
      </c>
      <c r="T923" s="1529"/>
      <c r="U923" s="1529"/>
      <c r="V923" s="1529"/>
      <c r="W923" s="1529"/>
      <c r="X923" s="1529"/>
      <c r="Y923" s="1529"/>
      <c r="Z923" s="1529"/>
      <c r="AA923" s="1529"/>
      <c r="AB923" s="1529"/>
      <c r="AC923" s="1529"/>
      <c r="AD923" s="1529"/>
      <c r="AE923" s="1529"/>
      <c r="AF923" s="1529"/>
      <c r="AG923" s="1529"/>
    </row>
    <row r="924" spans="1:33" ht="15.75" hidden="1" thickBot="1">
      <c r="A924" s="1530"/>
      <c r="B924" s="1532"/>
      <c r="C924" s="1530"/>
      <c r="D924" s="1409" t="s">
        <v>2902</v>
      </c>
      <c r="E924" s="1409" t="s">
        <v>2129</v>
      </c>
      <c r="F924" s="1409" t="s">
        <v>2129</v>
      </c>
      <c r="G924" s="1409" t="s">
        <v>2129</v>
      </c>
      <c r="H924" s="1409" t="s">
        <v>2129</v>
      </c>
      <c r="I924" s="1409" t="s">
        <v>2129</v>
      </c>
      <c r="J924" s="1409" t="s">
        <v>2129</v>
      </c>
      <c r="K924" s="1409" t="s">
        <v>2129</v>
      </c>
      <c r="L924" s="1409" t="s">
        <v>2286</v>
      </c>
      <c r="M924" s="1409">
        <v>166</v>
      </c>
      <c r="N924" s="1409">
        <v>200</v>
      </c>
      <c r="O924" s="1409"/>
      <c r="P924" s="1409">
        <v>200</v>
      </c>
      <c r="Q924" s="1409"/>
      <c r="R924" s="1409"/>
      <c r="S924" s="1409" t="s">
        <v>2129</v>
      </c>
      <c r="T924" s="1409" t="s">
        <v>2129</v>
      </c>
      <c r="U924" s="1409" t="s">
        <v>2129</v>
      </c>
      <c r="V924" s="1409" t="s">
        <v>2129</v>
      </c>
      <c r="W924" s="1409" t="s">
        <v>2129</v>
      </c>
      <c r="X924" s="1409" t="s">
        <v>2129</v>
      </c>
      <c r="Y924" s="1409" t="s">
        <v>2129</v>
      </c>
      <c r="Z924" s="1409" t="s">
        <v>2129</v>
      </c>
      <c r="AA924" s="1409" t="s">
        <v>2129</v>
      </c>
      <c r="AB924" s="1409" t="s">
        <v>2129</v>
      </c>
      <c r="AC924" s="1409" t="s">
        <v>2129</v>
      </c>
      <c r="AD924" s="1409" t="s">
        <v>2129</v>
      </c>
      <c r="AE924" s="1409" t="s">
        <v>2129</v>
      </c>
      <c r="AF924" s="1409" t="s">
        <v>2129</v>
      </c>
      <c r="AG924" s="1409" t="s">
        <v>2129</v>
      </c>
    </row>
    <row r="925" spans="1:33" ht="15.75" hidden="1" thickBot="1">
      <c r="A925" s="1530"/>
      <c r="B925" s="1532"/>
      <c r="C925" s="1530"/>
      <c r="D925" s="1409" t="s">
        <v>2903</v>
      </c>
      <c r="E925" s="1409" t="s">
        <v>2129</v>
      </c>
      <c r="F925" s="1409" t="s">
        <v>2129</v>
      </c>
      <c r="G925" s="1409" t="s">
        <v>2129</v>
      </c>
      <c r="H925" s="1409" t="s">
        <v>2129</v>
      </c>
      <c r="I925" s="1409" t="s">
        <v>2129</v>
      </c>
      <c r="J925" s="1409" t="s">
        <v>2129</v>
      </c>
      <c r="K925" s="1409" t="s">
        <v>2129</v>
      </c>
      <c r="L925" s="1409" t="s">
        <v>2286</v>
      </c>
      <c r="M925" s="1409">
        <v>166</v>
      </c>
      <c r="N925" s="1409">
        <v>250</v>
      </c>
      <c r="O925" s="1409"/>
      <c r="P925" s="1409">
        <v>250</v>
      </c>
      <c r="Q925" s="1409"/>
      <c r="R925" s="1409"/>
      <c r="S925" s="1409" t="s">
        <v>2129</v>
      </c>
      <c r="T925" s="1409" t="s">
        <v>2129</v>
      </c>
      <c r="U925" s="1409" t="s">
        <v>2129</v>
      </c>
      <c r="V925" s="1409" t="s">
        <v>2129</v>
      </c>
      <c r="W925" s="1409" t="s">
        <v>2129</v>
      </c>
      <c r="X925" s="1409" t="s">
        <v>2129</v>
      </c>
      <c r="Y925" s="1409" t="s">
        <v>2129</v>
      </c>
      <c r="Z925" s="1409" t="s">
        <v>2129</v>
      </c>
      <c r="AA925" s="1409" t="s">
        <v>2129</v>
      </c>
      <c r="AB925" s="1409" t="s">
        <v>2129</v>
      </c>
      <c r="AC925" s="1409" t="s">
        <v>2129</v>
      </c>
      <c r="AD925" s="1409" t="s">
        <v>2129</v>
      </c>
      <c r="AE925" s="1409" t="s">
        <v>2129</v>
      </c>
      <c r="AF925" s="1409" t="s">
        <v>2129</v>
      </c>
      <c r="AG925" s="1409" t="s">
        <v>2129</v>
      </c>
    </row>
    <row r="926" spans="1:33" ht="15.75" hidden="1" thickBot="1">
      <c r="A926" s="1530"/>
      <c r="B926" s="1532"/>
      <c r="C926" s="1530"/>
      <c r="D926" s="1409" t="s">
        <v>2904</v>
      </c>
      <c r="E926" s="1409" t="s">
        <v>2129</v>
      </c>
      <c r="F926" s="1409" t="s">
        <v>2129</v>
      </c>
      <c r="G926" s="1409" t="s">
        <v>2129</v>
      </c>
      <c r="H926" s="1409" t="s">
        <v>2129</v>
      </c>
      <c r="I926" s="1409" t="s">
        <v>2129</v>
      </c>
      <c r="J926" s="1409" t="s">
        <v>2129</v>
      </c>
      <c r="K926" s="1409" t="s">
        <v>2129</v>
      </c>
      <c r="L926" s="1409" t="s">
        <v>2286</v>
      </c>
      <c r="M926" s="1409">
        <v>166</v>
      </c>
      <c r="N926" s="1409">
        <v>100</v>
      </c>
      <c r="O926" s="1409"/>
      <c r="P926" s="1409">
        <v>100</v>
      </c>
      <c r="Q926" s="1409"/>
      <c r="R926" s="1409"/>
      <c r="S926" s="1409" t="s">
        <v>2129</v>
      </c>
      <c r="T926" s="1409" t="s">
        <v>2129</v>
      </c>
      <c r="U926" s="1409" t="s">
        <v>2129</v>
      </c>
      <c r="V926" s="1409" t="s">
        <v>2129</v>
      </c>
      <c r="W926" s="1409" t="s">
        <v>2129</v>
      </c>
      <c r="X926" s="1409" t="s">
        <v>2129</v>
      </c>
      <c r="Y926" s="1409" t="s">
        <v>2129</v>
      </c>
      <c r="Z926" s="1409" t="s">
        <v>2129</v>
      </c>
      <c r="AA926" s="1409" t="s">
        <v>2129</v>
      </c>
      <c r="AB926" s="1409" t="s">
        <v>2129</v>
      </c>
      <c r="AC926" s="1409" t="s">
        <v>2129</v>
      </c>
      <c r="AD926" s="1409" t="s">
        <v>2129</v>
      </c>
      <c r="AE926" s="1409" t="s">
        <v>2129</v>
      </c>
      <c r="AF926" s="1409" t="s">
        <v>2129</v>
      </c>
      <c r="AG926" s="1409" t="s">
        <v>2129</v>
      </c>
    </row>
    <row r="927" spans="1:33" ht="68.25" hidden="1" thickBot="1">
      <c r="A927" s="1530"/>
      <c r="B927" s="1532"/>
      <c r="C927" s="1530"/>
      <c r="D927" s="1409" t="s">
        <v>2905</v>
      </c>
      <c r="E927" s="1409" t="s">
        <v>2129</v>
      </c>
      <c r="F927" s="1409" t="s">
        <v>2129</v>
      </c>
      <c r="G927" s="1409" t="s">
        <v>2129</v>
      </c>
      <c r="H927" s="1409" t="s">
        <v>2129</v>
      </c>
      <c r="I927" s="1409" t="s">
        <v>2129</v>
      </c>
      <c r="J927" s="1409" t="s">
        <v>2129</v>
      </c>
      <c r="K927" s="1409" t="s">
        <v>2129</v>
      </c>
      <c r="L927" s="1409" t="s">
        <v>2286</v>
      </c>
      <c r="M927" s="1409">
        <v>166</v>
      </c>
      <c r="N927" s="1409">
        <v>200</v>
      </c>
      <c r="O927" s="1409"/>
      <c r="P927" s="1409">
        <v>200</v>
      </c>
      <c r="Q927" s="1409"/>
      <c r="R927" s="1409"/>
      <c r="S927" s="1409" t="s">
        <v>2129</v>
      </c>
      <c r="T927" s="1409" t="s">
        <v>2129</v>
      </c>
      <c r="U927" s="1409" t="s">
        <v>2129</v>
      </c>
      <c r="V927" s="1409" t="s">
        <v>2129</v>
      </c>
      <c r="W927" s="1409" t="s">
        <v>2129</v>
      </c>
      <c r="X927" s="1409" t="s">
        <v>2129</v>
      </c>
      <c r="Y927" s="1409" t="s">
        <v>2129</v>
      </c>
      <c r="Z927" s="1409" t="s">
        <v>2129</v>
      </c>
      <c r="AA927" s="1409" t="s">
        <v>2129</v>
      </c>
      <c r="AB927" s="1409" t="s">
        <v>2129</v>
      </c>
      <c r="AC927" s="1409" t="s">
        <v>2129</v>
      </c>
      <c r="AD927" s="1409" t="s">
        <v>2129</v>
      </c>
      <c r="AE927" s="1409" t="s">
        <v>2129</v>
      </c>
      <c r="AF927" s="1409" t="s">
        <v>2129</v>
      </c>
      <c r="AG927" s="1409" t="s">
        <v>2129</v>
      </c>
    </row>
    <row r="928" spans="1:33" ht="15.75" hidden="1" thickBot="1">
      <c r="A928" s="1530"/>
      <c r="B928" s="1532"/>
      <c r="C928" s="1530"/>
      <c r="D928" s="1409" t="s">
        <v>2906</v>
      </c>
      <c r="E928" s="1409" t="s">
        <v>2129</v>
      </c>
      <c r="F928" s="1409" t="s">
        <v>2129</v>
      </c>
      <c r="G928" s="1409" t="s">
        <v>2129</v>
      </c>
      <c r="H928" s="1409" t="s">
        <v>2129</v>
      </c>
      <c r="I928" s="1409" t="s">
        <v>2129</v>
      </c>
      <c r="J928" s="1409" t="s">
        <v>2129</v>
      </c>
      <c r="K928" s="1409" t="s">
        <v>2129</v>
      </c>
      <c r="L928" s="1409" t="s">
        <v>2286</v>
      </c>
      <c r="M928" s="1409">
        <v>166</v>
      </c>
      <c r="N928" s="1409">
        <v>12</v>
      </c>
      <c r="O928" s="1409"/>
      <c r="P928" s="1409">
        <v>12</v>
      </c>
      <c r="Q928" s="1409"/>
      <c r="R928" s="1409"/>
      <c r="S928" s="1409" t="s">
        <v>2129</v>
      </c>
      <c r="T928" s="1409" t="s">
        <v>2129</v>
      </c>
      <c r="U928" s="1409" t="s">
        <v>2129</v>
      </c>
      <c r="V928" s="1409" t="s">
        <v>2129</v>
      </c>
      <c r="W928" s="1409" t="s">
        <v>2129</v>
      </c>
      <c r="X928" s="1409" t="s">
        <v>2129</v>
      </c>
      <c r="Y928" s="1409" t="s">
        <v>2129</v>
      </c>
      <c r="Z928" s="1409" t="s">
        <v>2129</v>
      </c>
      <c r="AA928" s="1409" t="s">
        <v>2129</v>
      </c>
      <c r="AB928" s="1409" t="s">
        <v>2129</v>
      </c>
      <c r="AC928" s="1409" t="s">
        <v>2129</v>
      </c>
      <c r="AD928" s="1409" t="s">
        <v>2129</v>
      </c>
      <c r="AE928" s="1409" t="s">
        <v>2129</v>
      </c>
      <c r="AF928" s="1409" t="s">
        <v>2129</v>
      </c>
      <c r="AG928" s="1409" t="s">
        <v>2129</v>
      </c>
    </row>
    <row r="929" spans="1:33" ht="15.75" hidden="1" thickBot="1">
      <c r="A929" s="1529"/>
      <c r="B929" s="1533"/>
      <c r="C929" s="1529"/>
      <c r="D929" s="1409" t="s">
        <v>2907</v>
      </c>
      <c r="E929" s="1409" t="s">
        <v>2129</v>
      </c>
      <c r="F929" s="1409" t="s">
        <v>2129</v>
      </c>
      <c r="G929" s="1409" t="s">
        <v>2129</v>
      </c>
      <c r="H929" s="1409" t="s">
        <v>2129</v>
      </c>
      <c r="I929" s="1409" t="s">
        <v>2129</v>
      </c>
      <c r="J929" s="1409" t="s">
        <v>2129</v>
      </c>
      <c r="K929" s="1409" t="s">
        <v>2129</v>
      </c>
      <c r="L929" s="1409" t="s">
        <v>2286</v>
      </c>
      <c r="M929" s="1409">
        <v>166</v>
      </c>
      <c r="N929" s="1409">
        <v>190</v>
      </c>
      <c r="O929" s="1409"/>
      <c r="P929" s="1409">
        <v>190</v>
      </c>
      <c r="Q929" s="1409"/>
      <c r="R929" s="1409"/>
      <c r="S929" s="1409" t="s">
        <v>2129</v>
      </c>
      <c r="T929" s="1409" t="s">
        <v>2129</v>
      </c>
      <c r="U929" s="1409" t="s">
        <v>2129</v>
      </c>
      <c r="V929" s="1409" t="s">
        <v>2129</v>
      </c>
      <c r="W929" s="1409" t="s">
        <v>2129</v>
      </c>
      <c r="X929" s="1409" t="s">
        <v>2129</v>
      </c>
      <c r="Y929" s="1409" t="s">
        <v>2129</v>
      </c>
      <c r="Z929" s="1409" t="s">
        <v>2129</v>
      </c>
      <c r="AA929" s="1409" t="s">
        <v>2129</v>
      </c>
      <c r="AB929" s="1409" t="s">
        <v>2129</v>
      </c>
      <c r="AC929" s="1409" t="s">
        <v>2129</v>
      </c>
      <c r="AD929" s="1409" t="s">
        <v>2129</v>
      </c>
      <c r="AE929" s="1409" t="s">
        <v>2129</v>
      </c>
      <c r="AF929" s="1409" t="s">
        <v>2129</v>
      </c>
      <c r="AG929" s="1409" t="s">
        <v>2129</v>
      </c>
    </row>
    <row r="930" spans="1:33" ht="23.25" customHeight="1">
      <c r="A930" s="1528">
        <v>122</v>
      </c>
      <c r="B930" s="1531">
        <v>1.7224300000000002E+35</v>
      </c>
      <c r="C930" s="1528" t="s">
        <v>2908</v>
      </c>
      <c r="D930" s="1528"/>
      <c r="E930" s="1528">
        <v>123319.22</v>
      </c>
      <c r="F930" s="1528"/>
      <c r="G930" s="1528">
        <v>123319.22</v>
      </c>
      <c r="H930" s="1528">
        <v>0</v>
      </c>
      <c r="I930" s="1528">
        <v>123319.22</v>
      </c>
      <c r="J930" s="1528">
        <v>0</v>
      </c>
      <c r="K930" s="1528">
        <v>0</v>
      </c>
      <c r="L930" s="1528" t="s">
        <v>2129</v>
      </c>
      <c r="M930" s="1528" t="s">
        <v>2129</v>
      </c>
      <c r="N930" s="1528" t="s">
        <v>2129</v>
      </c>
      <c r="O930" s="1528" t="s">
        <v>2129</v>
      </c>
      <c r="P930" s="1528" t="s">
        <v>2129</v>
      </c>
      <c r="Q930" s="1528" t="s">
        <v>2129</v>
      </c>
      <c r="R930" s="1528" t="s">
        <v>2129</v>
      </c>
      <c r="S930" s="1410" t="s">
        <v>2149</v>
      </c>
      <c r="T930" s="1528">
        <v>1233.19</v>
      </c>
      <c r="U930" s="1528">
        <v>6165.96</v>
      </c>
      <c r="V930" s="1528">
        <v>12.201700000000001</v>
      </c>
      <c r="W930" s="1528">
        <v>7.2018000000000004</v>
      </c>
      <c r="X930" s="1528" t="s">
        <v>2281</v>
      </c>
      <c r="Y930" s="1528" t="s">
        <v>2132</v>
      </c>
      <c r="Z930" s="1528" t="s">
        <v>2282</v>
      </c>
      <c r="AA930" s="1528"/>
      <c r="AB930" s="1528"/>
      <c r="AC930" s="1528"/>
      <c r="AD930" s="1528" t="s">
        <v>2133</v>
      </c>
      <c r="AE930" s="1528"/>
      <c r="AF930" s="1528" t="s">
        <v>2283</v>
      </c>
      <c r="AG930" s="1528"/>
    </row>
    <row r="931" spans="1:33" ht="93" hidden="1" thickBot="1">
      <c r="A931" s="1530"/>
      <c r="B931" s="1532"/>
      <c r="C931" s="1530"/>
      <c r="D931" s="1529"/>
      <c r="E931" s="1529"/>
      <c r="F931" s="1529"/>
      <c r="G931" s="1529"/>
      <c r="H931" s="1529"/>
      <c r="I931" s="1529"/>
      <c r="J931" s="1529"/>
      <c r="K931" s="1529"/>
      <c r="L931" s="1529"/>
      <c r="M931" s="1529"/>
      <c r="N931" s="1529"/>
      <c r="O931" s="1529"/>
      <c r="P931" s="1529"/>
      <c r="Q931" s="1529"/>
      <c r="R931" s="1529"/>
      <c r="S931" s="1409" t="s">
        <v>2897</v>
      </c>
      <c r="T931" s="1529"/>
      <c r="U931" s="1529"/>
      <c r="V931" s="1529"/>
      <c r="W931" s="1529"/>
      <c r="X931" s="1529"/>
      <c r="Y931" s="1529"/>
      <c r="Z931" s="1529"/>
      <c r="AA931" s="1529"/>
      <c r="AB931" s="1529"/>
      <c r="AC931" s="1529"/>
      <c r="AD931" s="1529"/>
      <c r="AE931" s="1529"/>
      <c r="AF931" s="1529"/>
      <c r="AG931" s="1529"/>
    </row>
    <row r="932" spans="1:33" ht="15.75" hidden="1" thickBot="1">
      <c r="A932" s="1530"/>
      <c r="B932" s="1532"/>
      <c r="C932" s="1530"/>
      <c r="D932" s="1409" t="s">
        <v>2319</v>
      </c>
      <c r="E932" s="1409" t="s">
        <v>2129</v>
      </c>
      <c r="F932" s="1409" t="s">
        <v>2129</v>
      </c>
      <c r="G932" s="1409" t="s">
        <v>2129</v>
      </c>
      <c r="H932" s="1409" t="s">
        <v>2129</v>
      </c>
      <c r="I932" s="1409" t="s">
        <v>2129</v>
      </c>
      <c r="J932" s="1409" t="s">
        <v>2129</v>
      </c>
      <c r="K932" s="1409" t="s">
        <v>2129</v>
      </c>
      <c r="L932" s="1409" t="s">
        <v>2286</v>
      </c>
      <c r="M932" s="1409">
        <v>166</v>
      </c>
      <c r="N932" s="1409">
        <v>25</v>
      </c>
      <c r="O932" s="1409"/>
      <c r="P932" s="1409">
        <v>25</v>
      </c>
      <c r="Q932" s="1409"/>
      <c r="R932" s="1409"/>
      <c r="S932" s="1409" t="s">
        <v>2129</v>
      </c>
      <c r="T932" s="1409" t="s">
        <v>2129</v>
      </c>
      <c r="U932" s="1409" t="s">
        <v>2129</v>
      </c>
      <c r="V932" s="1409" t="s">
        <v>2129</v>
      </c>
      <c r="W932" s="1409" t="s">
        <v>2129</v>
      </c>
      <c r="X932" s="1409" t="s">
        <v>2129</v>
      </c>
      <c r="Y932" s="1409" t="s">
        <v>2129</v>
      </c>
      <c r="Z932" s="1409" t="s">
        <v>2129</v>
      </c>
      <c r="AA932" s="1409" t="s">
        <v>2129</v>
      </c>
      <c r="AB932" s="1409" t="s">
        <v>2129</v>
      </c>
      <c r="AC932" s="1409" t="s">
        <v>2129</v>
      </c>
      <c r="AD932" s="1409" t="s">
        <v>2129</v>
      </c>
      <c r="AE932" s="1409" t="s">
        <v>2129</v>
      </c>
      <c r="AF932" s="1409" t="s">
        <v>2129</v>
      </c>
      <c r="AG932" s="1409" t="s">
        <v>2129</v>
      </c>
    </row>
    <row r="933" spans="1:33" ht="43.5" hidden="1" thickBot="1">
      <c r="A933" s="1530"/>
      <c r="B933" s="1532"/>
      <c r="C933" s="1530"/>
      <c r="D933" s="1409" t="s">
        <v>2909</v>
      </c>
      <c r="E933" s="1409" t="s">
        <v>2129</v>
      </c>
      <c r="F933" s="1409" t="s">
        <v>2129</v>
      </c>
      <c r="G933" s="1409" t="s">
        <v>2129</v>
      </c>
      <c r="H933" s="1409" t="s">
        <v>2129</v>
      </c>
      <c r="I933" s="1409" t="s">
        <v>2129</v>
      </c>
      <c r="J933" s="1409" t="s">
        <v>2129</v>
      </c>
      <c r="K933" s="1409" t="s">
        <v>2129</v>
      </c>
      <c r="L933" s="1409" t="s">
        <v>2286</v>
      </c>
      <c r="M933" s="1409">
        <v>166</v>
      </c>
      <c r="N933" s="1409">
        <v>50</v>
      </c>
      <c r="O933" s="1409"/>
      <c r="P933" s="1409">
        <v>50</v>
      </c>
      <c r="Q933" s="1409"/>
      <c r="R933" s="1409"/>
      <c r="S933" s="1409" t="s">
        <v>2129</v>
      </c>
      <c r="T933" s="1409" t="s">
        <v>2129</v>
      </c>
      <c r="U933" s="1409" t="s">
        <v>2129</v>
      </c>
      <c r="V933" s="1409" t="s">
        <v>2129</v>
      </c>
      <c r="W933" s="1409" t="s">
        <v>2129</v>
      </c>
      <c r="X933" s="1409" t="s">
        <v>2129</v>
      </c>
      <c r="Y933" s="1409" t="s">
        <v>2129</v>
      </c>
      <c r="Z933" s="1409" t="s">
        <v>2129</v>
      </c>
      <c r="AA933" s="1409" t="s">
        <v>2129</v>
      </c>
      <c r="AB933" s="1409" t="s">
        <v>2129</v>
      </c>
      <c r="AC933" s="1409" t="s">
        <v>2129</v>
      </c>
      <c r="AD933" s="1409" t="s">
        <v>2129</v>
      </c>
      <c r="AE933" s="1409" t="s">
        <v>2129</v>
      </c>
      <c r="AF933" s="1409" t="s">
        <v>2129</v>
      </c>
      <c r="AG933" s="1409" t="s">
        <v>2129</v>
      </c>
    </row>
    <row r="934" spans="1:33" ht="27" hidden="1" thickBot="1">
      <c r="A934" s="1530"/>
      <c r="B934" s="1532"/>
      <c r="C934" s="1530"/>
      <c r="D934" s="1409" t="s">
        <v>2910</v>
      </c>
      <c r="E934" s="1409" t="s">
        <v>2129</v>
      </c>
      <c r="F934" s="1409" t="s">
        <v>2129</v>
      </c>
      <c r="G934" s="1409" t="s">
        <v>2129</v>
      </c>
      <c r="H934" s="1409" t="s">
        <v>2129</v>
      </c>
      <c r="I934" s="1409" t="s">
        <v>2129</v>
      </c>
      <c r="J934" s="1409" t="s">
        <v>2129</v>
      </c>
      <c r="K934" s="1409" t="s">
        <v>2129</v>
      </c>
      <c r="L934" s="1409" t="s">
        <v>2286</v>
      </c>
      <c r="M934" s="1409">
        <v>166</v>
      </c>
      <c r="N934" s="1409">
        <v>19.68</v>
      </c>
      <c r="O934" s="1409"/>
      <c r="P934" s="1409">
        <v>19.68</v>
      </c>
      <c r="Q934" s="1409"/>
      <c r="R934" s="1409"/>
      <c r="S934" s="1409" t="s">
        <v>2129</v>
      </c>
      <c r="T934" s="1409" t="s">
        <v>2129</v>
      </c>
      <c r="U934" s="1409" t="s">
        <v>2129</v>
      </c>
      <c r="V934" s="1409" t="s">
        <v>2129</v>
      </c>
      <c r="W934" s="1409" t="s">
        <v>2129</v>
      </c>
      <c r="X934" s="1409" t="s">
        <v>2129</v>
      </c>
      <c r="Y934" s="1409" t="s">
        <v>2129</v>
      </c>
      <c r="Z934" s="1409" t="s">
        <v>2129</v>
      </c>
      <c r="AA934" s="1409" t="s">
        <v>2129</v>
      </c>
      <c r="AB934" s="1409" t="s">
        <v>2129</v>
      </c>
      <c r="AC934" s="1409" t="s">
        <v>2129</v>
      </c>
      <c r="AD934" s="1409" t="s">
        <v>2129</v>
      </c>
      <c r="AE934" s="1409" t="s">
        <v>2129</v>
      </c>
      <c r="AF934" s="1409" t="s">
        <v>2129</v>
      </c>
      <c r="AG934" s="1409" t="s">
        <v>2129</v>
      </c>
    </row>
    <row r="935" spans="1:33" ht="15.75" hidden="1" thickBot="1">
      <c r="A935" s="1530"/>
      <c r="B935" s="1532"/>
      <c r="C935" s="1530"/>
      <c r="D935" s="1409" t="s">
        <v>2715</v>
      </c>
      <c r="E935" s="1409" t="s">
        <v>2129</v>
      </c>
      <c r="F935" s="1409" t="s">
        <v>2129</v>
      </c>
      <c r="G935" s="1409" t="s">
        <v>2129</v>
      </c>
      <c r="H935" s="1409" t="s">
        <v>2129</v>
      </c>
      <c r="I935" s="1409" t="s">
        <v>2129</v>
      </c>
      <c r="J935" s="1409" t="s">
        <v>2129</v>
      </c>
      <c r="K935" s="1409" t="s">
        <v>2129</v>
      </c>
      <c r="L935" s="1409" t="s">
        <v>2286</v>
      </c>
      <c r="M935" s="1409">
        <v>166</v>
      </c>
      <c r="N935" s="1409">
        <v>34.56</v>
      </c>
      <c r="O935" s="1409"/>
      <c r="P935" s="1409">
        <v>34.56</v>
      </c>
      <c r="Q935" s="1409"/>
      <c r="R935" s="1409"/>
      <c r="S935" s="1409" t="s">
        <v>2129</v>
      </c>
      <c r="T935" s="1409" t="s">
        <v>2129</v>
      </c>
      <c r="U935" s="1409" t="s">
        <v>2129</v>
      </c>
      <c r="V935" s="1409" t="s">
        <v>2129</v>
      </c>
      <c r="W935" s="1409" t="s">
        <v>2129</v>
      </c>
      <c r="X935" s="1409" t="s">
        <v>2129</v>
      </c>
      <c r="Y935" s="1409" t="s">
        <v>2129</v>
      </c>
      <c r="Z935" s="1409" t="s">
        <v>2129</v>
      </c>
      <c r="AA935" s="1409" t="s">
        <v>2129</v>
      </c>
      <c r="AB935" s="1409" t="s">
        <v>2129</v>
      </c>
      <c r="AC935" s="1409" t="s">
        <v>2129</v>
      </c>
      <c r="AD935" s="1409" t="s">
        <v>2129</v>
      </c>
      <c r="AE935" s="1409" t="s">
        <v>2129</v>
      </c>
      <c r="AF935" s="1409" t="s">
        <v>2129</v>
      </c>
      <c r="AG935" s="1409" t="s">
        <v>2129</v>
      </c>
    </row>
    <row r="936" spans="1:33" ht="43.5" hidden="1" thickBot="1">
      <c r="A936" s="1530"/>
      <c r="B936" s="1532"/>
      <c r="C936" s="1530"/>
      <c r="D936" s="1409" t="s">
        <v>2620</v>
      </c>
      <c r="E936" s="1409" t="s">
        <v>2129</v>
      </c>
      <c r="F936" s="1409" t="s">
        <v>2129</v>
      </c>
      <c r="G936" s="1409" t="s">
        <v>2129</v>
      </c>
      <c r="H936" s="1409" t="s">
        <v>2129</v>
      </c>
      <c r="I936" s="1409" t="s">
        <v>2129</v>
      </c>
      <c r="J936" s="1409" t="s">
        <v>2129</v>
      </c>
      <c r="K936" s="1409" t="s">
        <v>2129</v>
      </c>
      <c r="L936" s="1409" t="s">
        <v>2286</v>
      </c>
      <c r="M936" s="1409">
        <v>166</v>
      </c>
      <c r="N936" s="1409">
        <v>30</v>
      </c>
      <c r="O936" s="1409"/>
      <c r="P936" s="1409">
        <v>30</v>
      </c>
      <c r="Q936" s="1409"/>
      <c r="R936" s="1409"/>
      <c r="S936" s="1409" t="s">
        <v>2129</v>
      </c>
      <c r="T936" s="1409" t="s">
        <v>2129</v>
      </c>
      <c r="U936" s="1409" t="s">
        <v>2129</v>
      </c>
      <c r="V936" s="1409" t="s">
        <v>2129</v>
      </c>
      <c r="W936" s="1409" t="s">
        <v>2129</v>
      </c>
      <c r="X936" s="1409" t="s">
        <v>2129</v>
      </c>
      <c r="Y936" s="1409" t="s">
        <v>2129</v>
      </c>
      <c r="Z936" s="1409" t="s">
        <v>2129</v>
      </c>
      <c r="AA936" s="1409" t="s">
        <v>2129</v>
      </c>
      <c r="AB936" s="1409" t="s">
        <v>2129</v>
      </c>
      <c r="AC936" s="1409" t="s">
        <v>2129</v>
      </c>
      <c r="AD936" s="1409" t="s">
        <v>2129</v>
      </c>
      <c r="AE936" s="1409" t="s">
        <v>2129</v>
      </c>
      <c r="AF936" s="1409" t="s">
        <v>2129</v>
      </c>
      <c r="AG936" s="1409" t="s">
        <v>2129</v>
      </c>
    </row>
    <row r="937" spans="1:33" ht="43.5" hidden="1" thickBot="1">
      <c r="A937" s="1530"/>
      <c r="B937" s="1532"/>
      <c r="C937" s="1530"/>
      <c r="D937" s="1409" t="s">
        <v>2622</v>
      </c>
      <c r="E937" s="1409" t="s">
        <v>2129</v>
      </c>
      <c r="F937" s="1409" t="s">
        <v>2129</v>
      </c>
      <c r="G937" s="1409" t="s">
        <v>2129</v>
      </c>
      <c r="H937" s="1409" t="s">
        <v>2129</v>
      </c>
      <c r="I937" s="1409" t="s">
        <v>2129</v>
      </c>
      <c r="J937" s="1409" t="s">
        <v>2129</v>
      </c>
      <c r="K937" s="1409" t="s">
        <v>2129</v>
      </c>
      <c r="L937" s="1409" t="s">
        <v>2286</v>
      </c>
      <c r="M937" s="1409">
        <v>166</v>
      </c>
      <c r="N937" s="1409">
        <v>30</v>
      </c>
      <c r="O937" s="1409"/>
      <c r="P937" s="1409">
        <v>30</v>
      </c>
      <c r="Q937" s="1409"/>
      <c r="R937" s="1409"/>
      <c r="S937" s="1409" t="s">
        <v>2129</v>
      </c>
      <c r="T937" s="1409" t="s">
        <v>2129</v>
      </c>
      <c r="U937" s="1409" t="s">
        <v>2129</v>
      </c>
      <c r="V937" s="1409" t="s">
        <v>2129</v>
      </c>
      <c r="W937" s="1409" t="s">
        <v>2129</v>
      </c>
      <c r="X937" s="1409" t="s">
        <v>2129</v>
      </c>
      <c r="Y937" s="1409" t="s">
        <v>2129</v>
      </c>
      <c r="Z937" s="1409" t="s">
        <v>2129</v>
      </c>
      <c r="AA937" s="1409" t="s">
        <v>2129</v>
      </c>
      <c r="AB937" s="1409" t="s">
        <v>2129</v>
      </c>
      <c r="AC937" s="1409" t="s">
        <v>2129</v>
      </c>
      <c r="AD937" s="1409" t="s">
        <v>2129</v>
      </c>
      <c r="AE937" s="1409" t="s">
        <v>2129</v>
      </c>
      <c r="AF937" s="1409" t="s">
        <v>2129</v>
      </c>
      <c r="AG937" s="1409" t="s">
        <v>2129</v>
      </c>
    </row>
    <row r="938" spans="1:33" ht="27" hidden="1" thickBot="1">
      <c r="A938" s="1530"/>
      <c r="B938" s="1532"/>
      <c r="C938" s="1530"/>
      <c r="D938" s="1409" t="s">
        <v>2839</v>
      </c>
      <c r="E938" s="1409" t="s">
        <v>2129</v>
      </c>
      <c r="F938" s="1409" t="s">
        <v>2129</v>
      </c>
      <c r="G938" s="1409" t="s">
        <v>2129</v>
      </c>
      <c r="H938" s="1409" t="s">
        <v>2129</v>
      </c>
      <c r="I938" s="1409" t="s">
        <v>2129</v>
      </c>
      <c r="J938" s="1409" t="s">
        <v>2129</v>
      </c>
      <c r="K938" s="1409" t="s">
        <v>2129</v>
      </c>
      <c r="L938" s="1409" t="s">
        <v>2166</v>
      </c>
      <c r="M938" s="1409">
        <v>796</v>
      </c>
      <c r="N938" s="1409">
        <v>48</v>
      </c>
      <c r="O938" s="1409"/>
      <c r="P938" s="1409">
        <v>48</v>
      </c>
      <c r="Q938" s="1409"/>
      <c r="R938" s="1409"/>
      <c r="S938" s="1409" t="s">
        <v>2129</v>
      </c>
      <c r="T938" s="1409" t="s">
        <v>2129</v>
      </c>
      <c r="U938" s="1409" t="s">
        <v>2129</v>
      </c>
      <c r="V938" s="1409" t="s">
        <v>2129</v>
      </c>
      <c r="W938" s="1409" t="s">
        <v>2129</v>
      </c>
      <c r="X938" s="1409" t="s">
        <v>2129</v>
      </c>
      <c r="Y938" s="1409" t="s">
        <v>2129</v>
      </c>
      <c r="Z938" s="1409" t="s">
        <v>2129</v>
      </c>
      <c r="AA938" s="1409" t="s">
        <v>2129</v>
      </c>
      <c r="AB938" s="1409" t="s">
        <v>2129</v>
      </c>
      <c r="AC938" s="1409" t="s">
        <v>2129</v>
      </c>
      <c r="AD938" s="1409" t="s">
        <v>2129</v>
      </c>
      <c r="AE938" s="1409" t="s">
        <v>2129</v>
      </c>
      <c r="AF938" s="1409" t="s">
        <v>2129</v>
      </c>
      <c r="AG938" s="1409" t="s">
        <v>2129</v>
      </c>
    </row>
    <row r="939" spans="1:33" ht="27" hidden="1" thickBot="1">
      <c r="A939" s="1530"/>
      <c r="B939" s="1532"/>
      <c r="C939" s="1530"/>
      <c r="D939" s="1409" t="s">
        <v>2911</v>
      </c>
      <c r="E939" s="1409" t="s">
        <v>2129</v>
      </c>
      <c r="F939" s="1409" t="s">
        <v>2129</v>
      </c>
      <c r="G939" s="1409" t="s">
        <v>2129</v>
      </c>
      <c r="H939" s="1409" t="s">
        <v>2129</v>
      </c>
      <c r="I939" s="1409" t="s">
        <v>2129</v>
      </c>
      <c r="J939" s="1409" t="s">
        <v>2129</v>
      </c>
      <c r="K939" s="1409" t="s">
        <v>2129</v>
      </c>
      <c r="L939" s="1409" t="s">
        <v>2286</v>
      </c>
      <c r="M939" s="1409">
        <v>166</v>
      </c>
      <c r="N939" s="1409">
        <v>100</v>
      </c>
      <c r="O939" s="1409"/>
      <c r="P939" s="1409">
        <v>100</v>
      </c>
      <c r="Q939" s="1409"/>
      <c r="R939" s="1409"/>
      <c r="S939" s="1409" t="s">
        <v>2129</v>
      </c>
      <c r="T939" s="1409" t="s">
        <v>2129</v>
      </c>
      <c r="U939" s="1409" t="s">
        <v>2129</v>
      </c>
      <c r="V939" s="1409" t="s">
        <v>2129</v>
      </c>
      <c r="W939" s="1409" t="s">
        <v>2129</v>
      </c>
      <c r="X939" s="1409" t="s">
        <v>2129</v>
      </c>
      <c r="Y939" s="1409" t="s">
        <v>2129</v>
      </c>
      <c r="Z939" s="1409" t="s">
        <v>2129</v>
      </c>
      <c r="AA939" s="1409" t="s">
        <v>2129</v>
      </c>
      <c r="AB939" s="1409" t="s">
        <v>2129</v>
      </c>
      <c r="AC939" s="1409" t="s">
        <v>2129</v>
      </c>
      <c r="AD939" s="1409" t="s">
        <v>2129</v>
      </c>
      <c r="AE939" s="1409" t="s">
        <v>2129</v>
      </c>
      <c r="AF939" s="1409" t="s">
        <v>2129</v>
      </c>
      <c r="AG939" s="1409" t="s">
        <v>2129</v>
      </c>
    </row>
    <row r="940" spans="1:33" ht="18.75" hidden="1" thickBot="1">
      <c r="A940" s="1530"/>
      <c r="B940" s="1532"/>
      <c r="C940" s="1530"/>
      <c r="D940" s="1409" t="s">
        <v>2713</v>
      </c>
      <c r="E940" s="1409" t="s">
        <v>2129</v>
      </c>
      <c r="F940" s="1409" t="s">
        <v>2129</v>
      </c>
      <c r="G940" s="1409" t="s">
        <v>2129</v>
      </c>
      <c r="H940" s="1409" t="s">
        <v>2129</v>
      </c>
      <c r="I940" s="1409" t="s">
        <v>2129</v>
      </c>
      <c r="J940" s="1409" t="s">
        <v>2129</v>
      </c>
      <c r="K940" s="1409" t="s">
        <v>2129</v>
      </c>
      <c r="L940" s="1409" t="s">
        <v>2286</v>
      </c>
      <c r="M940" s="1409">
        <v>166</v>
      </c>
      <c r="N940" s="1409">
        <v>40.799999999999997</v>
      </c>
      <c r="O940" s="1409"/>
      <c r="P940" s="1409">
        <v>40.799999999999997</v>
      </c>
      <c r="Q940" s="1409"/>
      <c r="R940" s="1409"/>
      <c r="S940" s="1409" t="s">
        <v>2129</v>
      </c>
      <c r="T940" s="1409" t="s">
        <v>2129</v>
      </c>
      <c r="U940" s="1409" t="s">
        <v>2129</v>
      </c>
      <c r="V940" s="1409" t="s">
        <v>2129</v>
      </c>
      <c r="W940" s="1409" t="s">
        <v>2129</v>
      </c>
      <c r="X940" s="1409" t="s">
        <v>2129</v>
      </c>
      <c r="Y940" s="1409" t="s">
        <v>2129</v>
      </c>
      <c r="Z940" s="1409" t="s">
        <v>2129</v>
      </c>
      <c r="AA940" s="1409" t="s">
        <v>2129</v>
      </c>
      <c r="AB940" s="1409" t="s">
        <v>2129</v>
      </c>
      <c r="AC940" s="1409" t="s">
        <v>2129</v>
      </c>
      <c r="AD940" s="1409" t="s">
        <v>2129</v>
      </c>
      <c r="AE940" s="1409" t="s">
        <v>2129</v>
      </c>
      <c r="AF940" s="1409" t="s">
        <v>2129</v>
      </c>
      <c r="AG940" s="1409" t="s">
        <v>2129</v>
      </c>
    </row>
    <row r="941" spans="1:33" ht="15.75" hidden="1" thickBot="1">
      <c r="A941" s="1530"/>
      <c r="B941" s="1532"/>
      <c r="C941" s="1530"/>
      <c r="D941" s="1409" t="s">
        <v>2912</v>
      </c>
      <c r="E941" s="1409" t="s">
        <v>2129</v>
      </c>
      <c r="F941" s="1409" t="s">
        <v>2129</v>
      </c>
      <c r="G941" s="1409" t="s">
        <v>2129</v>
      </c>
      <c r="H941" s="1409" t="s">
        <v>2129</v>
      </c>
      <c r="I941" s="1409" t="s">
        <v>2129</v>
      </c>
      <c r="J941" s="1409" t="s">
        <v>2129</v>
      </c>
      <c r="K941" s="1409" t="s">
        <v>2129</v>
      </c>
      <c r="L941" s="1409" t="s">
        <v>2286</v>
      </c>
      <c r="M941" s="1409">
        <v>166</v>
      </c>
      <c r="N941" s="1409">
        <v>20</v>
      </c>
      <c r="O941" s="1409"/>
      <c r="P941" s="1409">
        <v>20</v>
      </c>
      <c r="Q941" s="1409"/>
      <c r="R941" s="1409"/>
      <c r="S941" s="1409" t="s">
        <v>2129</v>
      </c>
      <c r="T941" s="1409" t="s">
        <v>2129</v>
      </c>
      <c r="U941" s="1409" t="s">
        <v>2129</v>
      </c>
      <c r="V941" s="1409" t="s">
        <v>2129</v>
      </c>
      <c r="W941" s="1409" t="s">
        <v>2129</v>
      </c>
      <c r="X941" s="1409" t="s">
        <v>2129</v>
      </c>
      <c r="Y941" s="1409" t="s">
        <v>2129</v>
      </c>
      <c r="Z941" s="1409" t="s">
        <v>2129</v>
      </c>
      <c r="AA941" s="1409" t="s">
        <v>2129</v>
      </c>
      <c r="AB941" s="1409" t="s">
        <v>2129</v>
      </c>
      <c r="AC941" s="1409" t="s">
        <v>2129</v>
      </c>
      <c r="AD941" s="1409" t="s">
        <v>2129</v>
      </c>
      <c r="AE941" s="1409" t="s">
        <v>2129</v>
      </c>
      <c r="AF941" s="1409" t="s">
        <v>2129</v>
      </c>
      <c r="AG941" s="1409" t="s">
        <v>2129</v>
      </c>
    </row>
    <row r="942" spans="1:33" ht="27" hidden="1" thickBot="1">
      <c r="A942" s="1530"/>
      <c r="B942" s="1532"/>
      <c r="C942" s="1530"/>
      <c r="D942" s="1409" t="s">
        <v>2834</v>
      </c>
      <c r="E942" s="1409" t="s">
        <v>2129</v>
      </c>
      <c r="F942" s="1409" t="s">
        <v>2129</v>
      </c>
      <c r="G942" s="1409" t="s">
        <v>2129</v>
      </c>
      <c r="H942" s="1409" t="s">
        <v>2129</v>
      </c>
      <c r="I942" s="1409" t="s">
        <v>2129</v>
      </c>
      <c r="J942" s="1409" t="s">
        <v>2129</v>
      </c>
      <c r="K942" s="1409" t="s">
        <v>2129</v>
      </c>
      <c r="L942" s="1409" t="s">
        <v>2286</v>
      </c>
      <c r="M942" s="1409">
        <v>166</v>
      </c>
      <c r="N942" s="1409">
        <v>60.48</v>
      </c>
      <c r="O942" s="1409"/>
      <c r="P942" s="1409">
        <v>60.48</v>
      </c>
      <c r="Q942" s="1409"/>
      <c r="R942" s="1409"/>
      <c r="S942" s="1409" t="s">
        <v>2129</v>
      </c>
      <c r="T942" s="1409" t="s">
        <v>2129</v>
      </c>
      <c r="U942" s="1409" t="s">
        <v>2129</v>
      </c>
      <c r="V942" s="1409" t="s">
        <v>2129</v>
      </c>
      <c r="W942" s="1409" t="s">
        <v>2129</v>
      </c>
      <c r="X942" s="1409" t="s">
        <v>2129</v>
      </c>
      <c r="Y942" s="1409" t="s">
        <v>2129</v>
      </c>
      <c r="Z942" s="1409" t="s">
        <v>2129</v>
      </c>
      <c r="AA942" s="1409" t="s">
        <v>2129</v>
      </c>
      <c r="AB942" s="1409" t="s">
        <v>2129</v>
      </c>
      <c r="AC942" s="1409" t="s">
        <v>2129</v>
      </c>
      <c r="AD942" s="1409" t="s">
        <v>2129</v>
      </c>
      <c r="AE942" s="1409" t="s">
        <v>2129</v>
      </c>
      <c r="AF942" s="1409" t="s">
        <v>2129</v>
      </c>
      <c r="AG942" s="1409" t="s">
        <v>2129</v>
      </c>
    </row>
    <row r="943" spans="1:33" ht="15.75" hidden="1" thickBot="1">
      <c r="A943" s="1530"/>
      <c r="B943" s="1532"/>
      <c r="C943" s="1530"/>
      <c r="D943" s="1409" t="s">
        <v>2913</v>
      </c>
      <c r="E943" s="1409" t="s">
        <v>2129</v>
      </c>
      <c r="F943" s="1409" t="s">
        <v>2129</v>
      </c>
      <c r="G943" s="1409" t="s">
        <v>2129</v>
      </c>
      <c r="H943" s="1409" t="s">
        <v>2129</v>
      </c>
      <c r="I943" s="1409" t="s">
        <v>2129</v>
      </c>
      <c r="J943" s="1409" t="s">
        <v>2129</v>
      </c>
      <c r="K943" s="1409" t="s">
        <v>2129</v>
      </c>
      <c r="L943" s="1409" t="s">
        <v>2286</v>
      </c>
      <c r="M943" s="1409">
        <v>166</v>
      </c>
      <c r="N943" s="1409">
        <v>25</v>
      </c>
      <c r="O943" s="1409"/>
      <c r="P943" s="1409">
        <v>25</v>
      </c>
      <c r="Q943" s="1409"/>
      <c r="R943" s="1409"/>
      <c r="S943" s="1409" t="s">
        <v>2129</v>
      </c>
      <c r="T943" s="1409" t="s">
        <v>2129</v>
      </c>
      <c r="U943" s="1409" t="s">
        <v>2129</v>
      </c>
      <c r="V943" s="1409" t="s">
        <v>2129</v>
      </c>
      <c r="W943" s="1409" t="s">
        <v>2129</v>
      </c>
      <c r="X943" s="1409" t="s">
        <v>2129</v>
      </c>
      <c r="Y943" s="1409" t="s">
        <v>2129</v>
      </c>
      <c r="Z943" s="1409" t="s">
        <v>2129</v>
      </c>
      <c r="AA943" s="1409" t="s">
        <v>2129</v>
      </c>
      <c r="AB943" s="1409" t="s">
        <v>2129</v>
      </c>
      <c r="AC943" s="1409" t="s">
        <v>2129</v>
      </c>
      <c r="AD943" s="1409" t="s">
        <v>2129</v>
      </c>
      <c r="AE943" s="1409" t="s">
        <v>2129</v>
      </c>
      <c r="AF943" s="1409" t="s">
        <v>2129</v>
      </c>
      <c r="AG943" s="1409" t="s">
        <v>2129</v>
      </c>
    </row>
    <row r="944" spans="1:33" ht="51.75" hidden="1" thickBot="1">
      <c r="A944" s="1530"/>
      <c r="B944" s="1532"/>
      <c r="C944" s="1530"/>
      <c r="D944" s="1409" t="s">
        <v>2914</v>
      </c>
      <c r="E944" s="1409" t="s">
        <v>2129</v>
      </c>
      <c r="F944" s="1409" t="s">
        <v>2129</v>
      </c>
      <c r="G944" s="1409" t="s">
        <v>2129</v>
      </c>
      <c r="H944" s="1409" t="s">
        <v>2129</v>
      </c>
      <c r="I944" s="1409" t="s">
        <v>2129</v>
      </c>
      <c r="J944" s="1409" t="s">
        <v>2129</v>
      </c>
      <c r="K944" s="1409" t="s">
        <v>2129</v>
      </c>
      <c r="L944" s="1409" t="s">
        <v>2286</v>
      </c>
      <c r="M944" s="1409">
        <v>166</v>
      </c>
      <c r="N944" s="1409">
        <v>5</v>
      </c>
      <c r="O944" s="1409"/>
      <c r="P944" s="1409">
        <v>5</v>
      </c>
      <c r="Q944" s="1409"/>
      <c r="R944" s="1409"/>
      <c r="S944" s="1409" t="s">
        <v>2129</v>
      </c>
      <c r="T944" s="1409" t="s">
        <v>2129</v>
      </c>
      <c r="U944" s="1409" t="s">
        <v>2129</v>
      </c>
      <c r="V944" s="1409" t="s">
        <v>2129</v>
      </c>
      <c r="W944" s="1409" t="s">
        <v>2129</v>
      </c>
      <c r="X944" s="1409" t="s">
        <v>2129</v>
      </c>
      <c r="Y944" s="1409" t="s">
        <v>2129</v>
      </c>
      <c r="Z944" s="1409" t="s">
        <v>2129</v>
      </c>
      <c r="AA944" s="1409" t="s">
        <v>2129</v>
      </c>
      <c r="AB944" s="1409" t="s">
        <v>2129</v>
      </c>
      <c r="AC944" s="1409" t="s">
        <v>2129</v>
      </c>
      <c r="AD944" s="1409" t="s">
        <v>2129</v>
      </c>
      <c r="AE944" s="1409" t="s">
        <v>2129</v>
      </c>
      <c r="AF944" s="1409" t="s">
        <v>2129</v>
      </c>
      <c r="AG944" s="1409" t="s">
        <v>2129</v>
      </c>
    </row>
    <row r="945" spans="1:33" ht="35.25" hidden="1" thickBot="1">
      <c r="A945" s="1530"/>
      <c r="B945" s="1532"/>
      <c r="C945" s="1530"/>
      <c r="D945" s="1409" t="s">
        <v>2915</v>
      </c>
      <c r="E945" s="1409" t="s">
        <v>2129</v>
      </c>
      <c r="F945" s="1409" t="s">
        <v>2129</v>
      </c>
      <c r="G945" s="1409" t="s">
        <v>2129</v>
      </c>
      <c r="H945" s="1409" t="s">
        <v>2129</v>
      </c>
      <c r="I945" s="1409" t="s">
        <v>2129</v>
      </c>
      <c r="J945" s="1409" t="s">
        <v>2129</v>
      </c>
      <c r="K945" s="1409" t="s">
        <v>2129</v>
      </c>
      <c r="L945" s="1409" t="s">
        <v>2286</v>
      </c>
      <c r="M945" s="1409">
        <v>166</v>
      </c>
      <c r="N945" s="1409">
        <v>12</v>
      </c>
      <c r="O945" s="1409"/>
      <c r="P945" s="1409">
        <v>12</v>
      </c>
      <c r="Q945" s="1409"/>
      <c r="R945" s="1409"/>
      <c r="S945" s="1409" t="s">
        <v>2129</v>
      </c>
      <c r="T945" s="1409" t="s">
        <v>2129</v>
      </c>
      <c r="U945" s="1409" t="s">
        <v>2129</v>
      </c>
      <c r="V945" s="1409" t="s">
        <v>2129</v>
      </c>
      <c r="W945" s="1409" t="s">
        <v>2129</v>
      </c>
      <c r="X945" s="1409" t="s">
        <v>2129</v>
      </c>
      <c r="Y945" s="1409" t="s">
        <v>2129</v>
      </c>
      <c r="Z945" s="1409" t="s">
        <v>2129</v>
      </c>
      <c r="AA945" s="1409" t="s">
        <v>2129</v>
      </c>
      <c r="AB945" s="1409" t="s">
        <v>2129</v>
      </c>
      <c r="AC945" s="1409" t="s">
        <v>2129</v>
      </c>
      <c r="AD945" s="1409" t="s">
        <v>2129</v>
      </c>
      <c r="AE945" s="1409" t="s">
        <v>2129</v>
      </c>
      <c r="AF945" s="1409" t="s">
        <v>2129</v>
      </c>
      <c r="AG945" s="1409" t="s">
        <v>2129</v>
      </c>
    </row>
    <row r="946" spans="1:33" ht="15.75" hidden="1" thickBot="1">
      <c r="A946" s="1530"/>
      <c r="B946" s="1532"/>
      <c r="C946" s="1530"/>
      <c r="D946" s="1409" t="s">
        <v>2318</v>
      </c>
      <c r="E946" s="1409" t="s">
        <v>2129</v>
      </c>
      <c r="F946" s="1409" t="s">
        <v>2129</v>
      </c>
      <c r="G946" s="1409" t="s">
        <v>2129</v>
      </c>
      <c r="H946" s="1409" t="s">
        <v>2129</v>
      </c>
      <c r="I946" s="1409" t="s">
        <v>2129</v>
      </c>
      <c r="J946" s="1409" t="s">
        <v>2129</v>
      </c>
      <c r="K946" s="1409" t="s">
        <v>2129</v>
      </c>
      <c r="L946" s="1409" t="s">
        <v>2286</v>
      </c>
      <c r="M946" s="1409">
        <v>166</v>
      </c>
      <c r="N946" s="1409">
        <v>50</v>
      </c>
      <c r="O946" s="1409"/>
      <c r="P946" s="1409">
        <v>50</v>
      </c>
      <c r="Q946" s="1409"/>
      <c r="R946" s="1409"/>
      <c r="S946" s="1409" t="s">
        <v>2129</v>
      </c>
      <c r="T946" s="1409" t="s">
        <v>2129</v>
      </c>
      <c r="U946" s="1409" t="s">
        <v>2129</v>
      </c>
      <c r="V946" s="1409" t="s">
        <v>2129</v>
      </c>
      <c r="W946" s="1409" t="s">
        <v>2129</v>
      </c>
      <c r="X946" s="1409" t="s">
        <v>2129</v>
      </c>
      <c r="Y946" s="1409" t="s">
        <v>2129</v>
      </c>
      <c r="Z946" s="1409" t="s">
        <v>2129</v>
      </c>
      <c r="AA946" s="1409" t="s">
        <v>2129</v>
      </c>
      <c r="AB946" s="1409" t="s">
        <v>2129</v>
      </c>
      <c r="AC946" s="1409" t="s">
        <v>2129</v>
      </c>
      <c r="AD946" s="1409" t="s">
        <v>2129</v>
      </c>
      <c r="AE946" s="1409" t="s">
        <v>2129</v>
      </c>
      <c r="AF946" s="1409" t="s">
        <v>2129</v>
      </c>
      <c r="AG946" s="1409" t="s">
        <v>2129</v>
      </c>
    </row>
    <row r="947" spans="1:33" ht="51.75" hidden="1" thickBot="1">
      <c r="A947" s="1530"/>
      <c r="B947" s="1532"/>
      <c r="C947" s="1530"/>
      <c r="D947" s="1409" t="s">
        <v>2916</v>
      </c>
      <c r="E947" s="1409" t="s">
        <v>2129</v>
      </c>
      <c r="F947" s="1409" t="s">
        <v>2129</v>
      </c>
      <c r="G947" s="1409" t="s">
        <v>2129</v>
      </c>
      <c r="H947" s="1409" t="s">
        <v>2129</v>
      </c>
      <c r="I947" s="1409" t="s">
        <v>2129</v>
      </c>
      <c r="J947" s="1409" t="s">
        <v>2129</v>
      </c>
      <c r="K947" s="1409" t="s">
        <v>2129</v>
      </c>
      <c r="L947" s="1409" t="s">
        <v>2286</v>
      </c>
      <c r="M947" s="1409">
        <v>166</v>
      </c>
      <c r="N947" s="1409">
        <v>10</v>
      </c>
      <c r="O947" s="1409"/>
      <c r="P947" s="1409">
        <v>10</v>
      </c>
      <c r="Q947" s="1409"/>
      <c r="R947" s="1409"/>
      <c r="S947" s="1409" t="s">
        <v>2129</v>
      </c>
      <c r="T947" s="1409" t="s">
        <v>2129</v>
      </c>
      <c r="U947" s="1409" t="s">
        <v>2129</v>
      </c>
      <c r="V947" s="1409" t="s">
        <v>2129</v>
      </c>
      <c r="W947" s="1409" t="s">
        <v>2129</v>
      </c>
      <c r="X947" s="1409" t="s">
        <v>2129</v>
      </c>
      <c r="Y947" s="1409" t="s">
        <v>2129</v>
      </c>
      <c r="Z947" s="1409" t="s">
        <v>2129</v>
      </c>
      <c r="AA947" s="1409" t="s">
        <v>2129</v>
      </c>
      <c r="AB947" s="1409" t="s">
        <v>2129</v>
      </c>
      <c r="AC947" s="1409" t="s">
        <v>2129</v>
      </c>
      <c r="AD947" s="1409" t="s">
        <v>2129</v>
      </c>
      <c r="AE947" s="1409" t="s">
        <v>2129</v>
      </c>
      <c r="AF947" s="1409" t="s">
        <v>2129</v>
      </c>
      <c r="AG947" s="1409" t="s">
        <v>2129</v>
      </c>
    </row>
    <row r="948" spans="1:33" ht="27" hidden="1" thickBot="1">
      <c r="A948" s="1530"/>
      <c r="B948" s="1532"/>
      <c r="C948" s="1530"/>
      <c r="D948" s="1409" t="s">
        <v>2711</v>
      </c>
      <c r="E948" s="1409" t="s">
        <v>2129</v>
      </c>
      <c r="F948" s="1409" t="s">
        <v>2129</v>
      </c>
      <c r="G948" s="1409" t="s">
        <v>2129</v>
      </c>
      <c r="H948" s="1409" t="s">
        <v>2129</v>
      </c>
      <c r="I948" s="1409" t="s">
        <v>2129</v>
      </c>
      <c r="J948" s="1409" t="s">
        <v>2129</v>
      </c>
      <c r="K948" s="1409" t="s">
        <v>2129</v>
      </c>
      <c r="L948" s="1409" t="s">
        <v>2286</v>
      </c>
      <c r="M948" s="1409">
        <v>166</v>
      </c>
      <c r="N948" s="1409">
        <v>10</v>
      </c>
      <c r="O948" s="1409"/>
      <c r="P948" s="1409">
        <v>10</v>
      </c>
      <c r="Q948" s="1409"/>
      <c r="R948" s="1409"/>
      <c r="S948" s="1409" t="s">
        <v>2129</v>
      </c>
      <c r="T948" s="1409" t="s">
        <v>2129</v>
      </c>
      <c r="U948" s="1409" t="s">
        <v>2129</v>
      </c>
      <c r="V948" s="1409" t="s">
        <v>2129</v>
      </c>
      <c r="W948" s="1409" t="s">
        <v>2129</v>
      </c>
      <c r="X948" s="1409" t="s">
        <v>2129</v>
      </c>
      <c r="Y948" s="1409" t="s">
        <v>2129</v>
      </c>
      <c r="Z948" s="1409" t="s">
        <v>2129</v>
      </c>
      <c r="AA948" s="1409" t="s">
        <v>2129</v>
      </c>
      <c r="AB948" s="1409" t="s">
        <v>2129</v>
      </c>
      <c r="AC948" s="1409" t="s">
        <v>2129</v>
      </c>
      <c r="AD948" s="1409" t="s">
        <v>2129</v>
      </c>
      <c r="AE948" s="1409" t="s">
        <v>2129</v>
      </c>
      <c r="AF948" s="1409" t="s">
        <v>2129</v>
      </c>
      <c r="AG948" s="1409" t="s">
        <v>2129</v>
      </c>
    </row>
    <row r="949" spans="1:33" ht="15.75" hidden="1" thickBot="1">
      <c r="A949" s="1530"/>
      <c r="B949" s="1532"/>
      <c r="C949" s="1530"/>
      <c r="D949" s="1409" t="s">
        <v>2320</v>
      </c>
      <c r="E949" s="1409" t="s">
        <v>2129</v>
      </c>
      <c r="F949" s="1409" t="s">
        <v>2129</v>
      </c>
      <c r="G949" s="1409" t="s">
        <v>2129</v>
      </c>
      <c r="H949" s="1409" t="s">
        <v>2129</v>
      </c>
      <c r="I949" s="1409" t="s">
        <v>2129</v>
      </c>
      <c r="J949" s="1409" t="s">
        <v>2129</v>
      </c>
      <c r="K949" s="1409" t="s">
        <v>2129</v>
      </c>
      <c r="L949" s="1409" t="s">
        <v>2286</v>
      </c>
      <c r="M949" s="1409">
        <v>166</v>
      </c>
      <c r="N949" s="1409">
        <v>25</v>
      </c>
      <c r="O949" s="1409"/>
      <c r="P949" s="1409">
        <v>25</v>
      </c>
      <c r="Q949" s="1409"/>
      <c r="R949" s="1409"/>
      <c r="S949" s="1409" t="s">
        <v>2129</v>
      </c>
      <c r="T949" s="1409" t="s">
        <v>2129</v>
      </c>
      <c r="U949" s="1409" t="s">
        <v>2129</v>
      </c>
      <c r="V949" s="1409" t="s">
        <v>2129</v>
      </c>
      <c r="W949" s="1409" t="s">
        <v>2129</v>
      </c>
      <c r="X949" s="1409" t="s">
        <v>2129</v>
      </c>
      <c r="Y949" s="1409" t="s">
        <v>2129</v>
      </c>
      <c r="Z949" s="1409" t="s">
        <v>2129</v>
      </c>
      <c r="AA949" s="1409" t="s">
        <v>2129</v>
      </c>
      <c r="AB949" s="1409" t="s">
        <v>2129</v>
      </c>
      <c r="AC949" s="1409" t="s">
        <v>2129</v>
      </c>
      <c r="AD949" s="1409" t="s">
        <v>2129</v>
      </c>
      <c r="AE949" s="1409" t="s">
        <v>2129</v>
      </c>
      <c r="AF949" s="1409" t="s">
        <v>2129</v>
      </c>
      <c r="AG949" s="1409" t="s">
        <v>2129</v>
      </c>
    </row>
    <row r="950" spans="1:33" ht="15.75" hidden="1" thickBot="1">
      <c r="A950" s="1530"/>
      <c r="B950" s="1532"/>
      <c r="C950" s="1530"/>
      <c r="D950" s="1409" t="s">
        <v>2709</v>
      </c>
      <c r="E950" s="1409" t="s">
        <v>2129</v>
      </c>
      <c r="F950" s="1409" t="s">
        <v>2129</v>
      </c>
      <c r="G950" s="1409" t="s">
        <v>2129</v>
      </c>
      <c r="H950" s="1409" t="s">
        <v>2129</v>
      </c>
      <c r="I950" s="1409" t="s">
        <v>2129</v>
      </c>
      <c r="J950" s="1409" t="s">
        <v>2129</v>
      </c>
      <c r="K950" s="1409" t="s">
        <v>2129</v>
      </c>
      <c r="L950" s="1409" t="s">
        <v>2286</v>
      </c>
      <c r="M950" s="1409">
        <v>166</v>
      </c>
      <c r="N950" s="1409">
        <v>73.44</v>
      </c>
      <c r="O950" s="1409"/>
      <c r="P950" s="1409">
        <v>73.44</v>
      </c>
      <c r="Q950" s="1409"/>
      <c r="R950" s="1409"/>
      <c r="S950" s="1409" t="s">
        <v>2129</v>
      </c>
      <c r="T950" s="1409" t="s">
        <v>2129</v>
      </c>
      <c r="U950" s="1409" t="s">
        <v>2129</v>
      </c>
      <c r="V950" s="1409" t="s">
        <v>2129</v>
      </c>
      <c r="W950" s="1409" t="s">
        <v>2129</v>
      </c>
      <c r="X950" s="1409" t="s">
        <v>2129</v>
      </c>
      <c r="Y950" s="1409" t="s">
        <v>2129</v>
      </c>
      <c r="Z950" s="1409" t="s">
        <v>2129</v>
      </c>
      <c r="AA950" s="1409" t="s">
        <v>2129</v>
      </c>
      <c r="AB950" s="1409" t="s">
        <v>2129</v>
      </c>
      <c r="AC950" s="1409" t="s">
        <v>2129</v>
      </c>
      <c r="AD950" s="1409" t="s">
        <v>2129</v>
      </c>
      <c r="AE950" s="1409" t="s">
        <v>2129</v>
      </c>
      <c r="AF950" s="1409" t="s">
        <v>2129</v>
      </c>
      <c r="AG950" s="1409" t="s">
        <v>2129</v>
      </c>
    </row>
    <row r="951" spans="1:33" ht="27" hidden="1" thickBot="1">
      <c r="A951" s="1530"/>
      <c r="B951" s="1532"/>
      <c r="C951" s="1530"/>
      <c r="D951" s="1409" t="s">
        <v>2917</v>
      </c>
      <c r="E951" s="1409" t="s">
        <v>2129</v>
      </c>
      <c r="F951" s="1409" t="s">
        <v>2129</v>
      </c>
      <c r="G951" s="1409" t="s">
        <v>2129</v>
      </c>
      <c r="H951" s="1409" t="s">
        <v>2129</v>
      </c>
      <c r="I951" s="1409" t="s">
        <v>2129</v>
      </c>
      <c r="J951" s="1409" t="s">
        <v>2129</v>
      </c>
      <c r="K951" s="1409" t="s">
        <v>2129</v>
      </c>
      <c r="L951" s="1409" t="s">
        <v>2286</v>
      </c>
      <c r="M951" s="1409">
        <v>166</v>
      </c>
      <c r="N951" s="1409">
        <v>36</v>
      </c>
      <c r="O951" s="1409"/>
      <c r="P951" s="1409">
        <v>36</v>
      </c>
      <c r="Q951" s="1409"/>
      <c r="R951" s="1409"/>
      <c r="S951" s="1409" t="s">
        <v>2129</v>
      </c>
      <c r="T951" s="1409" t="s">
        <v>2129</v>
      </c>
      <c r="U951" s="1409" t="s">
        <v>2129</v>
      </c>
      <c r="V951" s="1409" t="s">
        <v>2129</v>
      </c>
      <c r="W951" s="1409" t="s">
        <v>2129</v>
      </c>
      <c r="X951" s="1409" t="s">
        <v>2129</v>
      </c>
      <c r="Y951" s="1409" t="s">
        <v>2129</v>
      </c>
      <c r="Z951" s="1409" t="s">
        <v>2129</v>
      </c>
      <c r="AA951" s="1409" t="s">
        <v>2129</v>
      </c>
      <c r="AB951" s="1409" t="s">
        <v>2129</v>
      </c>
      <c r="AC951" s="1409" t="s">
        <v>2129</v>
      </c>
      <c r="AD951" s="1409" t="s">
        <v>2129</v>
      </c>
      <c r="AE951" s="1409" t="s">
        <v>2129</v>
      </c>
      <c r="AF951" s="1409" t="s">
        <v>2129</v>
      </c>
      <c r="AG951" s="1409" t="s">
        <v>2129</v>
      </c>
    </row>
    <row r="952" spans="1:33" ht="60" hidden="1" thickBot="1">
      <c r="A952" s="1530"/>
      <c r="B952" s="1532"/>
      <c r="C952" s="1530"/>
      <c r="D952" s="1409" t="s">
        <v>2918</v>
      </c>
      <c r="E952" s="1409" t="s">
        <v>2129</v>
      </c>
      <c r="F952" s="1409" t="s">
        <v>2129</v>
      </c>
      <c r="G952" s="1409" t="s">
        <v>2129</v>
      </c>
      <c r="H952" s="1409" t="s">
        <v>2129</v>
      </c>
      <c r="I952" s="1409" t="s">
        <v>2129</v>
      </c>
      <c r="J952" s="1409" t="s">
        <v>2129</v>
      </c>
      <c r="K952" s="1409" t="s">
        <v>2129</v>
      </c>
      <c r="L952" s="1409" t="s">
        <v>2286</v>
      </c>
      <c r="M952" s="1409">
        <v>166</v>
      </c>
      <c r="N952" s="1409">
        <v>20</v>
      </c>
      <c r="O952" s="1409"/>
      <c r="P952" s="1409">
        <v>20</v>
      </c>
      <c r="Q952" s="1409"/>
      <c r="R952" s="1409"/>
      <c r="S952" s="1409" t="s">
        <v>2129</v>
      </c>
      <c r="T952" s="1409" t="s">
        <v>2129</v>
      </c>
      <c r="U952" s="1409" t="s">
        <v>2129</v>
      </c>
      <c r="V952" s="1409" t="s">
        <v>2129</v>
      </c>
      <c r="W952" s="1409" t="s">
        <v>2129</v>
      </c>
      <c r="X952" s="1409" t="s">
        <v>2129</v>
      </c>
      <c r="Y952" s="1409" t="s">
        <v>2129</v>
      </c>
      <c r="Z952" s="1409" t="s">
        <v>2129</v>
      </c>
      <c r="AA952" s="1409" t="s">
        <v>2129</v>
      </c>
      <c r="AB952" s="1409" t="s">
        <v>2129</v>
      </c>
      <c r="AC952" s="1409" t="s">
        <v>2129</v>
      </c>
      <c r="AD952" s="1409" t="s">
        <v>2129</v>
      </c>
      <c r="AE952" s="1409" t="s">
        <v>2129</v>
      </c>
      <c r="AF952" s="1409" t="s">
        <v>2129</v>
      </c>
      <c r="AG952" s="1409" t="s">
        <v>2129</v>
      </c>
    </row>
    <row r="953" spans="1:33" ht="35.25" hidden="1" thickBot="1">
      <c r="A953" s="1530"/>
      <c r="B953" s="1532"/>
      <c r="C953" s="1530"/>
      <c r="D953" s="1409" t="s">
        <v>2919</v>
      </c>
      <c r="E953" s="1409" t="s">
        <v>2129</v>
      </c>
      <c r="F953" s="1409" t="s">
        <v>2129</v>
      </c>
      <c r="G953" s="1409" t="s">
        <v>2129</v>
      </c>
      <c r="H953" s="1409" t="s">
        <v>2129</v>
      </c>
      <c r="I953" s="1409" t="s">
        <v>2129</v>
      </c>
      <c r="J953" s="1409" t="s">
        <v>2129</v>
      </c>
      <c r="K953" s="1409" t="s">
        <v>2129</v>
      </c>
      <c r="L953" s="1409" t="s">
        <v>2286</v>
      </c>
      <c r="M953" s="1409">
        <v>166</v>
      </c>
      <c r="N953" s="1409">
        <v>42.24</v>
      </c>
      <c r="O953" s="1409"/>
      <c r="P953" s="1409">
        <v>42.24</v>
      </c>
      <c r="Q953" s="1409"/>
      <c r="R953" s="1409"/>
      <c r="S953" s="1409" t="s">
        <v>2129</v>
      </c>
      <c r="T953" s="1409" t="s">
        <v>2129</v>
      </c>
      <c r="U953" s="1409" t="s">
        <v>2129</v>
      </c>
      <c r="V953" s="1409" t="s">
        <v>2129</v>
      </c>
      <c r="W953" s="1409" t="s">
        <v>2129</v>
      </c>
      <c r="X953" s="1409" t="s">
        <v>2129</v>
      </c>
      <c r="Y953" s="1409" t="s">
        <v>2129</v>
      </c>
      <c r="Z953" s="1409" t="s">
        <v>2129</v>
      </c>
      <c r="AA953" s="1409" t="s">
        <v>2129</v>
      </c>
      <c r="AB953" s="1409" t="s">
        <v>2129</v>
      </c>
      <c r="AC953" s="1409" t="s">
        <v>2129</v>
      </c>
      <c r="AD953" s="1409" t="s">
        <v>2129</v>
      </c>
      <c r="AE953" s="1409" t="s">
        <v>2129</v>
      </c>
      <c r="AF953" s="1409" t="s">
        <v>2129</v>
      </c>
      <c r="AG953" s="1409" t="s">
        <v>2129</v>
      </c>
    </row>
    <row r="954" spans="1:33" ht="15.75" hidden="1" thickBot="1">
      <c r="A954" s="1530"/>
      <c r="B954" s="1532"/>
      <c r="C954" s="1530"/>
      <c r="D954" s="1409" t="s">
        <v>2920</v>
      </c>
      <c r="E954" s="1409" t="s">
        <v>2129</v>
      </c>
      <c r="F954" s="1409" t="s">
        <v>2129</v>
      </c>
      <c r="G954" s="1409" t="s">
        <v>2129</v>
      </c>
      <c r="H954" s="1409" t="s">
        <v>2129</v>
      </c>
      <c r="I954" s="1409" t="s">
        <v>2129</v>
      </c>
      <c r="J954" s="1409" t="s">
        <v>2129</v>
      </c>
      <c r="K954" s="1409" t="s">
        <v>2129</v>
      </c>
      <c r="L954" s="1409" t="s">
        <v>2286</v>
      </c>
      <c r="M954" s="1409">
        <v>166</v>
      </c>
      <c r="N954" s="1409">
        <v>100</v>
      </c>
      <c r="O954" s="1409"/>
      <c r="P954" s="1409">
        <v>100</v>
      </c>
      <c r="Q954" s="1409"/>
      <c r="R954" s="1409"/>
      <c r="S954" s="1409" t="s">
        <v>2129</v>
      </c>
      <c r="T954" s="1409" t="s">
        <v>2129</v>
      </c>
      <c r="U954" s="1409" t="s">
        <v>2129</v>
      </c>
      <c r="V954" s="1409" t="s">
        <v>2129</v>
      </c>
      <c r="W954" s="1409" t="s">
        <v>2129</v>
      </c>
      <c r="X954" s="1409" t="s">
        <v>2129</v>
      </c>
      <c r="Y954" s="1409" t="s">
        <v>2129</v>
      </c>
      <c r="Z954" s="1409" t="s">
        <v>2129</v>
      </c>
      <c r="AA954" s="1409" t="s">
        <v>2129</v>
      </c>
      <c r="AB954" s="1409" t="s">
        <v>2129</v>
      </c>
      <c r="AC954" s="1409" t="s">
        <v>2129</v>
      </c>
      <c r="AD954" s="1409" t="s">
        <v>2129</v>
      </c>
      <c r="AE954" s="1409" t="s">
        <v>2129</v>
      </c>
      <c r="AF954" s="1409" t="s">
        <v>2129</v>
      </c>
      <c r="AG954" s="1409" t="s">
        <v>2129</v>
      </c>
    </row>
    <row r="955" spans="1:33" ht="15.75" hidden="1" thickBot="1">
      <c r="A955" s="1530"/>
      <c r="B955" s="1532"/>
      <c r="C955" s="1530"/>
      <c r="D955" s="1409" t="s">
        <v>2719</v>
      </c>
      <c r="E955" s="1409" t="s">
        <v>2129</v>
      </c>
      <c r="F955" s="1409" t="s">
        <v>2129</v>
      </c>
      <c r="G955" s="1409" t="s">
        <v>2129</v>
      </c>
      <c r="H955" s="1409" t="s">
        <v>2129</v>
      </c>
      <c r="I955" s="1409" t="s">
        <v>2129</v>
      </c>
      <c r="J955" s="1409" t="s">
        <v>2129</v>
      </c>
      <c r="K955" s="1409" t="s">
        <v>2129</v>
      </c>
      <c r="L955" s="1409" t="s">
        <v>2286</v>
      </c>
      <c r="M955" s="1409">
        <v>166</v>
      </c>
      <c r="N955" s="1409">
        <v>39.36</v>
      </c>
      <c r="O955" s="1409"/>
      <c r="P955" s="1409">
        <v>39.36</v>
      </c>
      <c r="Q955" s="1409"/>
      <c r="R955" s="1409"/>
      <c r="S955" s="1409" t="s">
        <v>2129</v>
      </c>
      <c r="T955" s="1409" t="s">
        <v>2129</v>
      </c>
      <c r="U955" s="1409" t="s">
        <v>2129</v>
      </c>
      <c r="V955" s="1409" t="s">
        <v>2129</v>
      </c>
      <c r="W955" s="1409" t="s">
        <v>2129</v>
      </c>
      <c r="X955" s="1409" t="s">
        <v>2129</v>
      </c>
      <c r="Y955" s="1409" t="s">
        <v>2129</v>
      </c>
      <c r="Z955" s="1409" t="s">
        <v>2129</v>
      </c>
      <c r="AA955" s="1409" t="s">
        <v>2129</v>
      </c>
      <c r="AB955" s="1409" t="s">
        <v>2129</v>
      </c>
      <c r="AC955" s="1409" t="s">
        <v>2129</v>
      </c>
      <c r="AD955" s="1409" t="s">
        <v>2129</v>
      </c>
      <c r="AE955" s="1409" t="s">
        <v>2129</v>
      </c>
      <c r="AF955" s="1409" t="s">
        <v>2129</v>
      </c>
      <c r="AG955" s="1409" t="s">
        <v>2129</v>
      </c>
    </row>
    <row r="956" spans="1:33" ht="68.25" hidden="1" thickBot="1">
      <c r="A956" s="1529"/>
      <c r="B956" s="1533"/>
      <c r="C956" s="1529"/>
      <c r="D956" s="1409" t="s">
        <v>2921</v>
      </c>
      <c r="E956" s="1409" t="s">
        <v>2129</v>
      </c>
      <c r="F956" s="1409" t="s">
        <v>2129</v>
      </c>
      <c r="G956" s="1409" t="s">
        <v>2129</v>
      </c>
      <c r="H956" s="1409" t="s">
        <v>2129</v>
      </c>
      <c r="I956" s="1409" t="s">
        <v>2129</v>
      </c>
      <c r="J956" s="1409" t="s">
        <v>2129</v>
      </c>
      <c r="K956" s="1409" t="s">
        <v>2129</v>
      </c>
      <c r="L956" s="1409" t="s">
        <v>2166</v>
      </c>
      <c r="M956" s="1409">
        <v>796</v>
      </c>
      <c r="N956" s="1409">
        <v>90</v>
      </c>
      <c r="O956" s="1409"/>
      <c r="P956" s="1409">
        <v>90</v>
      </c>
      <c r="Q956" s="1409"/>
      <c r="R956" s="1409"/>
      <c r="S956" s="1409" t="s">
        <v>2129</v>
      </c>
      <c r="T956" s="1409" t="s">
        <v>2129</v>
      </c>
      <c r="U956" s="1409" t="s">
        <v>2129</v>
      </c>
      <c r="V956" s="1409" t="s">
        <v>2129</v>
      </c>
      <c r="W956" s="1409" t="s">
        <v>2129</v>
      </c>
      <c r="X956" s="1409" t="s">
        <v>2129</v>
      </c>
      <c r="Y956" s="1409" t="s">
        <v>2129</v>
      </c>
      <c r="Z956" s="1409" t="s">
        <v>2129</v>
      </c>
      <c r="AA956" s="1409" t="s">
        <v>2129</v>
      </c>
      <c r="AB956" s="1409" t="s">
        <v>2129</v>
      </c>
      <c r="AC956" s="1409" t="s">
        <v>2129</v>
      </c>
      <c r="AD956" s="1409" t="s">
        <v>2129</v>
      </c>
      <c r="AE956" s="1409" t="s">
        <v>2129</v>
      </c>
      <c r="AF956" s="1409" t="s">
        <v>2129</v>
      </c>
      <c r="AG956" s="1409" t="s">
        <v>2129</v>
      </c>
    </row>
    <row r="957" spans="1:33" ht="15.75" hidden="1" thickBot="1">
      <c r="A957" s="1534" t="s">
        <v>1968</v>
      </c>
      <c r="B957" s="1535"/>
      <c r="C957" s="1535"/>
      <c r="D957" s="1536"/>
      <c r="E957" s="1409">
        <v>9698213.5199999996</v>
      </c>
      <c r="F957" s="1409" t="s">
        <v>2129</v>
      </c>
      <c r="G957" s="1409">
        <v>9698213.5199999996</v>
      </c>
      <c r="H957" s="1409">
        <v>6802226.8399999999</v>
      </c>
      <c r="I957" s="1409">
        <v>2741564.68</v>
      </c>
      <c r="J957" s="1409">
        <v>154422</v>
      </c>
      <c r="K957" s="1409">
        <v>0</v>
      </c>
      <c r="L957" s="1409" t="s">
        <v>2129</v>
      </c>
      <c r="M957" s="1409" t="s">
        <v>2129</v>
      </c>
      <c r="N957" s="1409" t="s">
        <v>2129</v>
      </c>
      <c r="O957" s="1409" t="s">
        <v>2129</v>
      </c>
      <c r="P957" s="1409" t="s">
        <v>2129</v>
      </c>
      <c r="Q957" s="1409" t="s">
        <v>2129</v>
      </c>
      <c r="R957" s="1409" t="s">
        <v>2129</v>
      </c>
      <c r="S957" s="1409" t="s">
        <v>2129</v>
      </c>
      <c r="T957" s="1409" t="s">
        <v>2129</v>
      </c>
      <c r="U957" s="1409" t="s">
        <v>2129</v>
      </c>
      <c r="V957" s="1409" t="s">
        <v>2129</v>
      </c>
      <c r="W957" s="1409" t="s">
        <v>2129</v>
      </c>
      <c r="X957" s="1409" t="s">
        <v>2129</v>
      </c>
      <c r="Y957" s="1409" t="s">
        <v>2129</v>
      </c>
      <c r="Z957" s="1409" t="s">
        <v>2129</v>
      </c>
      <c r="AA957" s="1409" t="s">
        <v>2129</v>
      </c>
      <c r="AB957" s="1409" t="s">
        <v>2129</v>
      </c>
      <c r="AC957" s="1409" t="s">
        <v>2129</v>
      </c>
      <c r="AD957" s="1409" t="s">
        <v>2129</v>
      </c>
      <c r="AE957" s="1409" t="s">
        <v>2129</v>
      </c>
      <c r="AF957" s="1409" t="s">
        <v>2129</v>
      </c>
      <c r="AG957" s="1409" t="s">
        <v>2129</v>
      </c>
    </row>
    <row r="958" spans="1:33" ht="15.75" hidden="1" thickBot="1">
      <c r="A958" s="1534" t="s">
        <v>1969</v>
      </c>
      <c r="B958" s="1535"/>
      <c r="C958" s="1535"/>
      <c r="D958" s="1536"/>
      <c r="E958" s="1409">
        <v>0</v>
      </c>
      <c r="F958" s="1409" t="s">
        <v>2129</v>
      </c>
      <c r="G958" s="1409">
        <v>0</v>
      </c>
      <c r="H958" s="1409" t="s">
        <v>2129</v>
      </c>
      <c r="I958" s="1409" t="s">
        <v>2129</v>
      </c>
      <c r="J958" s="1409" t="s">
        <v>2129</v>
      </c>
      <c r="K958" s="1409" t="s">
        <v>2129</v>
      </c>
      <c r="L958" s="1409" t="s">
        <v>2129</v>
      </c>
      <c r="M958" s="1409" t="s">
        <v>2129</v>
      </c>
      <c r="N958" s="1409" t="s">
        <v>2129</v>
      </c>
      <c r="O958" s="1409" t="s">
        <v>2129</v>
      </c>
      <c r="P958" s="1409" t="s">
        <v>2129</v>
      </c>
      <c r="Q958" s="1409" t="s">
        <v>2129</v>
      </c>
      <c r="R958" s="1409" t="s">
        <v>2129</v>
      </c>
      <c r="S958" s="1409" t="s">
        <v>2129</v>
      </c>
      <c r="T958" s="1409" t="s">
        <v>2129</v>
      </c>
      <c r="U958" s="1409" t="s">
        <v>2129</v>
      </c>
      <c r="V958" s="1409" t="s">
        <v>2129</v>
      </c>
      <c r="W958" s="1409" t="s">
        <v>2129</v>
      </c>
      <c r="X958" s="1409" t="s">
        <v>2129</v>
      </c>
      <c r="Y958" s="1409" t="s">
        <v>2129</v>
      </c>
      <c r="Z958" s="1409" t="s">
        <v>2129</v>
      </c>
      <c r="AA958" s="1409" t="s">
        <v>2129</v>
      </c>
      <c r="AB958" s="1409" t="s">
        <v>2129</v>
      </c>
      <c r="AC958" s="1409" t="s">
        <v>2129</v>
      </c>
      <c r="AD958" s="1409" t="s">
        <v>2129</v>
      </c>
      <c r="AE958" s="1409" t="s">
        <v>2129</v>
      </c>
      <c r="AF958" s="1409" t="s">
        <v>2129</v>
      </c>
      <c r="AG958" s="1409" t="s">
        <v>2129</v>
      </c>
    </row>
    <row r="959" spans="1:33" ht="25.5" customHeight="1"/>
    <row r="960" spans="1:33" ht="25.5" customHeight="1" thickBot="1">
      <c r="A960" s="1393" t="s">
        <v>1970</v>
      </c>
      <c r="B960" s="1395" t="s">
        <v>1039</v>
      </c>
      <c r="C960" s="1393"/>
      <c r="D960" s="1394"/>
      <c r="E960" s="1393"/>
      <c r="F960" s="1395" t="s">
        <v>1971</v>
      </c>
      <c r="G960" s="1391"/>
      <c r="H960" s="1391"/>
      <c r="I960" s="1391"/>
      <c r="J960" s="1391"/>
      <c r="K960" s="1391"/>
      <c r="L960" s="1391"/>
      <c r="M960" s="1391"/>
      <c r="N960" s="1391"/>
      <c r="O960" s="1391"/>
      <c r="P960" s="1391"/>
      <c r="Q960" s="1391"/>
      <c r="R960" s="1391"/>
      <c r="S960" s="1391"/>
      <c r="T960" s="1391"/>
      <c r="U960" s="1391"/>
      <c r="V960" s="1391"/>
      <c r="W960" s="1391"/>
      <c r="X960" s="1391"/>
      <c r="Y960" s="1391"/>
      <c r="Z960" s="1391"/>
      <c r="AA960" s="1391"/>
      <c r="AB960" s="1391"/>
      <c r="AC960" s="1391"/>
      <c r="AD960" s="1391"/>
      <c r="AE960" s="1391"/>
      <c r="AF960" s="1391"/>
      <c r="AG960" s="1391"/>
    </row>
    <row r="961" spans="1:10" ht="25.5" customHeight="1">
      <c r="A961" s="1393"/>
      <c r="B961" s="1393" t="s">
        <v>1890</v>
      </c>
      <c r="C961" s="1393"/>
      <c r="D961" s="1393" t="s">
        <v>1846</v>
      </c>
      <c r="E961" s="1393"/>
      <c r="F961" s="1393" t="s">
        <v>1847</v>
      </c>
      <c r="G961" s="1391"/>
      <c r="H961" s="1391"/>
      <c r="I961" s="1391"/>
      <c r="J961" s="1391"/>
    </row>
    <row r="962" spans="1:10" ht="25.5" customHeight="1">
      <c r="A962" s="1392"/>
      <c r="B962" s="1391"/>
      <c r="C962" s="1391"/>
      <c r="D962" s="1391"/>
      <c r="E962" s="1391"/>
      <c r="F962" s="1391"/>
      <c r="G962" s="1391"/>
      <c r="H962" s="1391"/>
      <c r="I962" s="1391"/>
      <c r="J962" s="1391"/>
    </row>
    <row r="963" spans="1:10" ht="25.5" customHeight="1" thickBot="1">
      <c r="A963" s="1395" t="s">
        <v>1972</v>
      </c>
      <c r="B963" s="1392"/>
      <c r="C963" s="1395">
        <v>12</v>
      </c>
      <c r="D963" s="1392"/>
      <c r="E963" s="1396">
        <v>20</v>
      </c>
      <c r="F963" s="1395">
        <v>17</v>
      </c>
      <c r="G963" s="1392" t="s">
        <v>2071</v>
      </c>
      <c r="H963" s="1391"/>
      <c r="I963" s="1391"/>
      <c r="J963" s="1391"/>
    </row>
    <row r="964" spans="1:10" ht="25.5" customHeight="1"/>
    <row r="965" spans="1:10" ht="25.5" customHeight="1">
      <c r="A965" s="1398" t="s">
        <v>1973</v>
      </c>
      <c r="B965" s="1391"/>
      <c r="C965" s="1391"/>
      <c r="D965" s="1391"/>
      <c r="E965" s="1391"/>
      <c r="F965" s="1391"/>
      <c r="G965" s="1391"/>
      <c r="H965" s="1391"/>
      <c r="I965" s="1391"/>
      <c r="J965" s="1391"/>
    </row>
    <row r="966" spans="1:10" ht="25.5" customHeight="1">
      <c r="A966" s="1398" t="s">
        <v>1974</v>
      </c>
      <c r="B966" s="1391"/>
      <c r="C966" s="1391"/>
      <c r="D966" s="1391"/>
      <c r="E966" s="1391"/>
      <c r="F966" s="1391"/>
      <c r="G966" s="1391"/>
      <c r="H966" s="1391"/>
      <c r="I966" s="1391"/>
      <c r="J966" s="1391"/>
    </row>
    <row r="967" spans="1:10" ht="25.5" customHeight="1">
      <c r="A967" s="1398" t="s">
        <v>1975</v>
      </c>
      <c r="B967" s="1391"/>
      <c r="C967" s="1391"/>
      <c r="D967" s="1391"/>
      <c r="E967" s="1391"/>
      <c r="F967" s="1391"/>
      <c r="G967" s="1391"/>
      <c r="H967" s="1391"/>
      <c r="I967" s="1391"/>
      <c r="J967" s="1391"/>
    </row>
    <row r="968" spans="1:10" ht="25.5" customHeight="1" thickBot="1">
      <c r="A968" s="1391"/>
      <c r="B968" s="1391"/>
      <c r="C968" s="1391"/>
      <c r="D968" s="1391"/>
      <c r="E968" s="1391"/>
      <c r="F968" s="1391"/>
      <c r="G968" s="1391"/>
      <c r="H968" s="1391"/>
      <c r="I968" s="1391"/>
      <c r="J968" s="1391"/>
    </row>
    <row r="969" spans="1:10" ht="25.5" customHeight="1">
      <c r="A969" s="1392" t="s">
        <v>1976</v>
      </c>
      <c r="B969" s="1397"/>
      <c r="C969" s="1401" t="s">
        <v>1977</v>
      </c>
      <c r="D969" s="1537">
        <v>13</v>
      </c>
      <c r="E969" s="1391"/>
      <c r="F969" s="1391"/>
      <c r="G969" s="1391"/>
      <c r="H969" s="1391"/>
      <c r="I969" s="1391"/>
      <c r="J969" s="1391"/>
    </row>
    <row r="970" spans="1:10" ht="27" thickBot="1">
      <c r="A970" s="1406" t="s">
        <v>2090</v>
      </c>
      <c r="B970" s="1391"/>
      <c r="C970" s="1391"/>
      <c r="D970" s="1538"/>
      <c r="E970" s="1391"/>
      <c r="F970" s="1391"/>
      <c r="G970" s="1391"/>
      <c r="H970" s="1391"/>
      <c r="I970" s="1391"/>
      <c r="J970" s="1391"/>
    </row>
    <row r="971" spans="1:10" ht="15.75" thickBot="1">
      <c r="A971" s="1391"/>
      <c r="B971" s="1391"/>
      <c r="C971" s="1391"/>
      <c r="D971" s="1391"/>
      <c r="E971" s="1391"/>
      <c r="F971" s="1391"/>
      <c r="G971" s="1391"/>
      <c r="H971" s="1391"/>
      <c r="I971" s="1391"/>
      <c r="J971" s="1391"/>
    </row>
    <row r="972" spans="1:10" ht="405" thickBot="1">
      <c r="A972" s="1411" t="s">
        <v>1267</v>
      </c>
      <c r="B972" s="1412" t="s">
        <v>2094</v>
      </c>
      <c r="C972" s="1412" t="s">
        <v>1978</v>
      </c>
      <c r="D972" s="1412" t="s">
        <v>1979</v>
      </c>
      <c r="E972" s="1412" t="s">
        <v>1980</v>
      </c>
      <c r="F972" s="1412" t="s">
        <v>1981</v>
      </c>
      <c r="G972" s="1412" t="s">
        <v>1982</v>
      </c>
      <c r="H972" s="1412" t="s">
        <v>2104</v>
      </c>
      <c r="I972" s="1412" t="s">
        <v>1983</v>
      </c>
      <c r="J972" s="1412" t="s">
        <v>1984</v>
      </c>
    </row>
    <row r="973" spans="1:10" ht="15.75" thickBot="1">
      <c r="A973" s="1408">
        <v>1</v>
      </c>
      <c r="B973" s="1409">
        <v>2</v>
      </c>
      <c r="C973" s="1409">
        <v>3</v>
      </c>
      <c r="D973" s="1409">
        <v>4</v>
      </c>
      <c r="E973" s="1409">
        <v>5</v>
      </c>
      <c r="F973" s="1409">
        <v>6</v>
      </c>
      <c r="G973" s="1409">
        <v>7</v>
      </c>
      <c r="H973" s="1409">
        <v>8</v>
      </c>
      <c r="I973" s="1409">
        <v>9</v>
      </c>
      <c r="J973" s="1409">
        <v>10</v>
      </c>
    </row>
    <row r="974" spans="1:10" ht="43.5" thickBot="1">
      <c r="A974" s="1408">
        <v>1</v>
      </c>
      <c r="B974" s="1413">
        <v>1.7224300000000002E+35</v>
      </c>
      <c r="C974" s="1409" t="s">
        <v>2127</v>
      </c>
      <c r="D974" s="1409">
        <v>338637.29</v>
      </c>
      <c r="E974" s="1409" t="s">
        <v>1985</v>
      </c>
      <c r="F974" s="1409"/>
      <c r="G974" s="1409" t="s">
        <v>1986</v>
      </c>
      <c r="H974" s="1409" t="s">
        <v>2131</v>
      </c>
      <c r="I974" s="1409" t="s">
        <v>1987</v>
      </c>
      <c r="J974" s="1409"/>
    </row>
    <row r="975" spans="1:10" ht="43.5" thickBot="1">
      <c r="A975" s="1408">
        <v>2</v>
      </c>
      <c r="B975" s="1413">
        <v>1.7224300000000002E+35</v>
      </c>
      <c r="C975" s="1409" t="s">
        <v>2138</v>
      </c>
      <c r="D975" s="1409">
        <v>1666951.38</v>
      </c>
      <c r="E975" s="1409" t="s">
        <v>1985</v>
      </c>
      <c r="F975" s="1409"/>
      <c r="G975" s="1409" t="s">
        <v>1988</v>
      </c>
      <c r="H975" s="1409" t="s">
        <v>2131</v>
      </c>
      <c r="I975" s="1409" t="s">
        <v>1989</v>
      </c>
      <c r="J975" s="1409"/>
    </row>
    <row r="976" spans="1:10" ht="43.5" thickBot="1">
      <c r="A976" s="1408">
        <v>3</v>
      </c>
      <c r="B976" s="1413">
        <v>1.7224300000000002E+35</v>
      </c>
      <c r="C976" s="1409" t="s">
        <v>2142</v>
      </c>
      <c r="D976" s="1409">
        <v>37413.72</v>
      </c>
      <c r="E976" s="1409" t="s">
        <v>1985</v>
      </c>
      <c r="F976" s="1409"/>
      <c r="G976" s="1409" t="s">
        <v>1990</v>
      </c>
      <c r="H976" s="1409" t="s">
        <v>2131</v>
      </c>
      <c r="I976" s="1409" t="s">
        <v>1991</v>
      </c>
      <c r="J976" s="1409"/>
    </row>
    <row r="977" spans="1:10" ht="43.5" thickBot="1">
      <c r="A977" s="1408">
        <v>4</v>
      </c>
      <c r="B977" s="1413">
        <v>1.7224300000000002E+35</v>
      </c>
      <c r="C977" s="1409" t="s">
        <v>2147</v>
      </c>
      <c r="D977" s="1409">
        <v>56089.53</v>
      </c>
      <c r="E977" s="1409" t="s">
        <v>1985</v>
      </c>
      <c r="F977" s="1409"/>
      <c r="G977" s="1409" t="s">
        <v>1992</v>
      </c>
      <c r="H977" s="1409" t="s">
        <v>2131</v>
      </c>
      <c r="I977" s="1409" t="s">
        <v>1993</v>
      </c>
      <c r="J977" s="1409"/>
    </row>
    <row r="978" spans="1:10" ht="68.25" thickBot="1">
      <c r="A978" s="1408">
        <v>5</v>
      </c>
      <c r="B978" s="1413">
        <v>1.7224300000000002E+35</v>
      </c>
      <c r="C978" s="1409" t="s">
        <v>2153</v>
      </c>
      <c r="D978" s="1409">
        <v>42069</v>
      </c>
      <c r="E978" s="1409" t="s">
        <v>1985</v>
      </c>
      <c r="F978" s="1409"/>
      <c r="G978" s="1409" t="s">
        <v>1994</v>
      </c>
      <c r="H978" s="1409" t="s">
        <v>2131</v>
      </c>
      <c r="I978" s="1409" t="s">
        <v>1995</v>
      </c>
      <c r="J978" s="1409"/>
    </row>
    <row r="979" spans="1:10" ht="258" thickBot="1">
      <c r="A979" s="1408">
        <v>6</v>
      </c>
      <c r="B979" s="1413">
        <v>1.7224300000000002E+35</v>
      </c>
      <c r="C979" s="1409" t="s">
        <v>2157</v>
      </c>
      <c r="D979" s="1409">
        <v>38399</v>
      </c>
      <c r="E979" s="1409" t="s">
        <v>1985</v>
      </c>
      <c r="F979" s="1409"/>
      <c r="G979" s="1409" t="s">
        <v>1996</v>
      </c>
      <c r="H979" s="1409" t="s">
        <v>2131</v>
      </c>
      <c r="I979" s="1409" t="s">
        <v>1997</v>
      </c>
      <c r="J979" s="1409"/>
    </row>
    <row r="980" spans="1:10" ht="43.5" thickBot="1">
      <c r="A980" s="1408">
        <v>7</v>
      </c>
      <c r="B980" s="1413">
        <v>1.7224300000000002E+35</v>
      </c>
      <c r="C980" s="1409" t="s">
        <v>2161</v>
      </c>
      <c r="D980" s="1409">
        <v>3370</v>
      </c>
      <c r="E980" s="1409" t="s">
        <v>1985</v>
      </c>
      <c r="F980" s="1409"/>
      <c r="G980" s="1409">
        <v>3.37</v>
      </c>
      <c r="H980" s="1409" t="s">
        <v>2131</v>
      </c>
      <c r="I980" s="1409" t="s">
        <v>1998</v>
      </c>
      <c r="J980" s="1409"/>
    </row>
    <row r="981" spans="1:10" ht="43.5" thickBot="1">
      <c r="A981" s="1408">
        <v>8</v>
      </c>
      <c r="B981" s="1413">
        <v>1.7224300000000002E+35</v>
      </c>
      <c r="C981" s="1409" t="s">
        <v>2167</v>
      </c>
      <c r="D981" s="1409">
        <v>39403</v>
      </c>
      <c r="E981" s="1409" t="s">
        <v>1985</v>
      </c>
      <c r="F981" s="1409"/>
      <c r="G981" s="1409" t="s">
        <v>1999</v>
      </c>
      <c r="H981" s="1409" t="s">
        <v>2131</v>
      </c>
      <c r="I981" s="1409" t="s">
        <v>2000</v>
      </c>
      <c r="J981" s="1409"/>
    </row>
    <row r="982" spans="1:10" ht="43.5" thickBot="1">
      <c r="A982" s="1408">
        <v>9</v>
      </c>
      <c r="B982" s="1413">
        <v>1.7224300000000002E+35</v>
      </c>
      <c r="C982" s="1409" t="s">
        <v>2173</v>
      </c>
      <c r="D982" s="1409">
        <v>28870</v>
      </c>
      <c r="E982" s="1409" t="s">
        <v>1985</v>
      </c>
      <c r="F982" s="1409"/>
      <c r="G982" s="1409" t="s">
        <v>2001</v>
      </c>
      <c r="H982" s="1409" t="s">
        <v>2131</v>
      </c>
      <c r="I982" s="1409" t="s">
        <v>2002</v>
      </c>
      <c r="J982" s="1409"/>
    </row>
    <row r="983" spans="1:10" ht="93" thickBot="1">
      <c r="A983" s="1408">
        <v>10</v>
      </c>
      <c r="B983" s="1413">
        <v>1.7224300000000002E+35</v>
      </c>
      <c r="C983" s="1409" t="s">
        <v>2177</v>
      </c>
      <c r="D983" s="1409">
        <v>72000</v>
      </c>
      <c r="E983" s="1409" t="s">
        <v>1985</v>
      </c>
      <c r="F983" s="1409"/>
      <c r="G983" s="1409" t="s">
        <v>2003</v>
      </c>
      <c r="H983" s="1409" t="s">
        <v>2131</v>
      </c>
      <c r="I983" s="1409" t="s">
        <v>2004</v>
      </c>
      <c r="J983" s="1409"/>
    </row>
    <row r="984" spans="1:10" ht="51.75" thickBot="1">
      <c r="A984" s="1408">
        <v>11</v>
      </c>
      <c r="B984" s="1413">
        <v>1.7224300000000002E+35</v>
      </c>
      <c r="C984" s="1409" t="s">
        <v>2181</v>
      </c>
      <c r="D984" s="1409">
        <v>15840</v>
      </c>
      <c r="E984" s="1409" t="s">
        <v>1985</v>
      </c>
      <c r="F984" s="1409"/>
      <c r="G984" s="1409">
        <v>9.0470000000000006</v>
      </c>
      <c r="H984" s="1409" t="s">
        <v>2131</v>
      </c>
      <c r="I984" s="1409" t="s">
        <v>2005</v>
      </c>
      <c r="J984" s="1409"/>
    </row>
    <row r="985" spans="1:10" ht="43.5" thickBot="1">
      <c r="A985" s="1408">
        <v>12</v>
      </c>
      <c r="B985" s="1413">
        <v>1.7224300000000002E+35</v>
      </c>
      <c r="C985" s="1409" t="s">
        <v>2184</v>
      </c>
      <c r="D985" s="1409">
        <v>5011</v>
      </c>
      <c r="E985" s="1409" t="s">
        <v>1985</v>
      </c>
      <c r="F985" s="1409"/>
      <c r="G985" s="1409">
        <v>13.926</v>
      </c>
      <c r="H985" s="1409" t="s">
        <v>2131</v>
      </c>
      <c r="I985" s="1409" t="s">
        <v>2006</v>
      </c>
      <c r="J985" s="1409"/>
    </row>
    <row r="986" spans="1:10" ht="43.5" thickBot="1">
      <c r="A986" s="1408">
        <v>13</v>
      </c>
      <c r="B986" s="1413">
        <v>1.7224300000000002E+35</v>
      </c>
      <c r="C986" s="1409" t="s">
        <v>2187</v>
      </c>
      <c r="D986" s="1409">
        <v>1418.52</v>
      </c>
      <c r="E986" s="1409" t="s">
        <v>1985</v>
      </c>
      <c r="F986" s="1409"/>
      <c r="G986" s="1409">
        <v>23.103999999999999</v>
      </c>
      <c r="H986" s="1409" t="s">
        <v>2131</v>
      </c>
      <c r="I986" s="1409" t="s">
        <v>2007</v>
      </c>
      <c r="J986" s="1409"/>
    </row>
    <row r="987" spans="1:10" ht="60" thickBot="1">
      <c r="A987" s="1408">
        <v>14</v>
      </c>
      <c r="B987" s="1413">
        <v>1.7224300000000002E+35</v>
      </c>
      <c r="C987" s="1409" t="s">
        <v>2191</v>
      </c>
      <c r="D987" s="1409">
        <v>62953.8</v>
      </c>
      <c r="E987" s="1409" t="s">
        <v>1985</v>
      </c>
      <c r="F987" s="1409"/>
      <c r="G987" s="1409">
        <v>52.067</v>
      </c>
      <c r="H987" s="1409" t="s">
        <v>2131</v>
      </c>
      <c r="I987" s="1409" t="s">
        <v>2004</v>
      </c>
      <c r="J987" s="1409"/>
    </row>
    <row r="988" spans="1:10" ht="43.5" thickBot="1">
      <c r="A988" s="1408">
        <v>15</v>
      </c>
      <c r="B988" s="1413">
        <v>1.7224300000000002E+35</v>
      </c>
      <c r="C988" s="1409" t="s">
        <v>2195</v>
      </c>
      <c r="D988" s="1409">
        <v>42513</v>
      </c>
      <c r="E988" s="1409" t="s">
        <v>1985</v>
      </c>
      <c r="F988" s="1409"/>
      <c r="G988" s="1409">
        <v>42.512999999999998</v>
      </c>
      <c r="H988" s="1409" t="s">
        <v>2131</v>
      </c>
      <c r="I988" s="1409" t="s">
        <v>2007</v>
      </c>
      <c r="J988" s="1409"/>
    </row>
    <row r="989" spans="1:10" ht="43.5" thickBot="1">
      <c r="A989" s="1408">
        <v>16</v>
      </c>
      <c r="B989" s="1413">
        <v>1.7224300000000002E+35</v>
      </c>
      <c r="C989" s="1409" t="s">
        <v>2195</v>
      </c>
      <c r="D989" s="1409">
        <v>38474.699999999997</v>
      </c>
      <c r="E989" s="1409" t="s">
        <v>1985</v>
      </c>
      <c r="F989" s="1409"/>
      <c r="G989" s="1409">
        <v>38474.699999999997</v>
      </c>
      <c r="H989" s="1409" t="s">
        <v>2131</v>
      </c>
      <c r="I989" s="1409" t="s">
        <v>2008</v>
      </c>
      <c r="J989" s="1409"/>
    </row>
    <row r="990" spans="1:10" ht="43.5" thickBot="1">
      <c r="A990" s="1408">
        <v>17</v>
      </c>
      <c r="B990" s="1413">
        <v>1.7224300000000002E+35</v>
      </c>
      <c r="C990" s="1409" t="s">
        <v>2204</v>
      </c>
      <c r="D990" s="1409">
        <v>4800</v>
      </c>
      <c r="E990" s="1409" t="s">
        <v>1985</v>
      </c>
      <c r="F990" s="1409"/>
      <c r="G990" s="1409" t="s">
        <v>2009</v>
      </c>
      <c r="H990" s="1409" t="s">
        <v>2131</v>
      </c>
      <c r="I990" s="1409" t="s">
        <v>2004</v>
      </c>
      <c r="J990" s="1409"/>
    </row>
    <row r="991" spans="1:10" ht="43.5" thickBot="1">
      <c r="A991" s="1408">
        <v>18</v>
      </c>
      <c r="B991" s="1413">
        <v>1.7224300000000002E+35</v>
      </c>
      <c r="C991" s="1409" t="s">
        <v>2207</v>
      </c>
      <c r="D991" s="1409">
        <v>11582</v>
      </c>
      <c r="E991" s="1409" t="s">
        <v>1985</v>
      </c>
      <c r="F991" s="1409"/>
      <c r="G991" s="1409">
        <v>11.582000000000001</v>
      </c>
      <c r="H991" s="1409" t="s">
        <v>2131</v>
      </c>
      <c r="I991" s="1409" t="s">
        <v>2007</v>
      </c>
      <c r="J991" s="1409"/>
    </row>
    <row r="992" spans="1:10" ht="43.5" thickBot="1">
      <c r="A992" s="1408">
        <v>19</v>
      </c>
      <c r="B992" s="1413">
        <v>1.7224300000000002E+35</v>
      </c>
      <c r="C992" s="1409" t="s">
        <v>2211</v>
      </c>
      <c r="D992" s="1409">
        <v>0</v>
      </c>
      <c r="E992" s="1409" t="s">
        <v>1985</v>
      </c>
      <c r="F992" s="1409"/>
      <c r="G992" s="1409">
        <v>45.811999999999998</v>
      </c>
      <c r="H992" s="1409" t="s">
        <v>2131</v>
      </c>
      <c r="I992" s="1409" t="s">
        <v>2004</v>
      </c>
      <c r="J992" s="1409"/>
    </row>
    <row r="993" spans="1:10" ht="43.5" thickBot="1">
      <c r="A993" s="1408">
        <v>20</v>
      </c>
      <c r="B993" s="1413">
        <v>1.7224300000000002E+35</v>
      </c>
      <c r="C993" s="1409" t="s">
        <v>2216</v>
      </c>
      <c r="D993" s="1409">
        <v>14836</v>
      </c>
      <c r="E993" s="1409" t="s">
        <v>1985</v>
      </c>
      <c r="F993" s="1409"/>
      <c r="G993" s="1409" t="s">
        <v>2010</v>
      </c>
      <c r="H993" s="1409" t="s">
        <v>2131</v>
      </c>
      <c r="I993" s="1409" t="s">
        <v>1993</v>
      </c>
      <c r="J993" s="1409"/>
    </row>
    <row r="994" spans="1:10" ht="43.5" thickBot="1">
      <c r="A994" s="1408">
        <v>21</v>
      </c>
      <c r="B994" s="1413">
        <v>1.7224300000000002E+35</v>
      </c>
      <c r="C994" s="1409" t="s">
        <v>2219</v>
      </c>
      <c r="D994" s="1409">
        <v>28140</v>
      </c>
      <c r="E994" s="1409" t="s">
        <v>1985</v>
      </c>
      <c r="F994" s="1409"/>
      <c r="G994" s="1409" t="s">
        <v>2011</v>
      </c>
      <c r="H994" s="1409" t="s">
        <v>2131</v>
      </c>
      <c r="I994" s="1409" t="s">
        <v>2012</v>
      </c>
      <c r="J994" s="1409"/>
    </row>
    <row r="995" spans="1:10" ht="43.5" thickBot="1">
      <c r="A995" s="1408">
        <v>22</v>
      </c>
      <c r="B995" s="1413">
        <v>1.7224300000000002E+35</v>
      </c>
      <c r="C995" s="1409" t="s">
        <v>2223</v>
      </c>
      <c r="D995" s="1409">
        <v>6632</v>
      </c>
      <c r="E995" s="1409" t="s">
        <v>1985</v>
      </c>
      <c r="F995" s="1409"/>
      <c r="G995" s="1409">
        <v>6.6319999999999997</v>
      </c>
      <c r="H995" s="1409" t="s">
        <v>2131</v>
      </c>
      <c r="I995" s="1409" t="s">
        <v>2007</v>
      </c>
      <c r="J995" s="1409"/>
    </row>
    <row r="996" spans="1:10" ht="60" thickBot="1">
      <c r="A996" s="1408">
        <v>23</v>
      </c>
      <c r="B996" s="1413">
        <v>1.7224300000000002E+35</v>
      </c>
      <c r="C996" s="1409" t="s">
        <v>2226</v>
      </c>
      <c r="D996" s="1409">
        <v>15328.69</v>
      </c>
      <c r="E996" s="1409" t="s">
        <v>1985</v>
      </c>
      <c r="F996" s="1409"/>
      <c r="G996" s="1409" t="s">
        <v>2013</v>
      </c>
      <c r="H996" s="1409" t="s">
        <v>2131</v>
      </c>
      <c r="I996" s="1409" t="s">
        <v>2004</v>
      </c>
      <c r="J996" s="1409"/>
    </row>
    <row r="997" spans="1:10" ht="51.75" thickBot="1">
      <c r="A997" s="1408">
        <v>24</v>
      </c>
      <c r="B997" s="1413">
        <v>1.7224300000000002E+35</v>
      </c>
      <c r="C997" s="1409" t="s">
        <v>2229</v>
      </c>
      <c r="D997" s="1409">
        <v>132732</v>
      </c>
      <c r="E997" s="1409" t="s">
        <v>1985</v>
      </c>
      <c r="F997" s="1409"/>
      <c r="G997" s="1409" t="s">
        <v>2014</v>
      </c>
      <c r="H997" s="1409" t="s">
        <v>2131</v>
      </c>
      <c r="I997" s="1409" t="s">
        <v>2015</v>
      </c>
      <c r="J997" s="1409"/>
    </row>
    <row r="998" spans="1:10" ht="68.25" thickBot="1">
      <c r="A998" s="1408">
        <v>25</v>
      </c>
      <c r="B998" s="1413">
        <v>1.7224300000000002E+35</v>
      </c>
      <c r="C998" s="1409" t="s">
        <v>2233</v>
      </c>
      <c r="D998" s="1409">
        <v>16992</v>
      </c>
      <c r="E998" s="1409" t="s">
        <v>1985</v>
      </c>
      <c r="F998" s="1409"/>
      <c r="G998" s="1409">
        <v>16992</v>
      </c>
      <c r="H998" s="1409" t="s">
        <v>2131</v>
      </c>
      <c r="I998" s="1409" t="s">
        <v>2004</v>
      </c>
      <c r="J998" s="1409"/>
    </row>
    <row r="999" spans="1:10" ht="60" thickBot="1">
      <c r="A999" s="1408">
        <v>26</v>
      </c>
      <c r="B999" s="1413">
        <v>1.7224300000000002E+35</v>
      </c>
      <c r="C999" s="1409" t="s">
        <v>2237</v>
      </c>
      <c r="D999" s="1409">
        <v>29400</v>
      </c>
      <c r="E999" s="1409" t="s">
        <v>1985</v>
      </c>
      <c r="F999" s="1409"/>
      <c r="G999" s="1409" t="s">
        <v>2016</v>
      </c>
      <c r="H999" s="1409" t="s">
        <v>2131</v>
      </c>
      <c r="I999" s="1409" t="s">
        <v>2004</v>
      </c>
      <c r="J999" s="1409"/>
    </row>
    <row r="1000" spans="1:10" ht="68.25" thickBot="1">
      <c r="A1000" s="1408">
        <v>27</v>
      </c>
      <c r="B1000" s="1413">
        <v>1.7224300000000002E+35</v>
      </c>
      <c r="C1000" s="1409" t="s">
        <v>2241</v>
      </c>
      <c r="D1000" s="1409">
        <v>18264.11</v>
      </c>
      <c r="E1000" s="1409" t="s">
        <v>1985</v>
      </c>
      <c r="F1000" s="1409"/>
      <c r="G1000" s="1409">
        <v>18.655999999999999</v>
      </c>
      <c r="H1000" s="1409" t="s">
        <v>2131</v>
      </c>
      <c r="I1000" s="1409" t="s">
        <v>2004</v>
      </c>
      <c r="J1000" s="1409"/>
    </row>
    <row r="1001" spans="1:10" ht="60" thickBot="1">
      <c r="A1001" s="1408">
        <v>28</v>
      </c>
      <c r="B1001" s="1413">
        <v>1.7224300000000002E+35</v>
      </c>
      <c r="C1001" s="1409" t="s">
        <v>2262</v>
      </c>
      <c r="D1001" s="1409" t="s">
        <v>2264</v>
      </c>
      <c r="E1001" s="1409" t="s">
        <v>1985</v>
      </c>
      <c r="F1001" s="1409"/>
      <c r="G1001" s="1409" t="s">
        <v>2017</v>
      </c>
      <c r="H1001" s="1409" t="s">
        <v>2131</v>
      </c>
      <c r="I1001" s="1409" t="s">
        <v>2004</v>
      </c>
      <c r="J1001" s="1409"/>
    </row>
    <row r="1002" spans="1:10" ht="43.5" thickBot="1">
      <c r="A1002" s="1408">
        <v>29</v>
      </c>
      <c r="B1002" s="1413">
        <v>1.7224300000000002E+35</v>
      </c>
      <c r="C1002" s="1409" t="s">
        <v>2268</v>
      </c>
      <c r="D1002" s="1409">
        <v>2584</v>
      </c>
      <c r="E1002" s="1409" t="s">
        <v>1985</v>
      </c>
      <c r="F1002" s="1409"/>
      <c r="G1002" s="1409" t="s">
        <v>2018</v>
      </c>
      <c r="H1002" s="1409" t="s">
        <v>2131</v>
      </c>
      <c r="I1002" s="1409" t="s">
        <v>2004</v>
      </c>
      <c r="J1002" s="1409"/>
    </row>
    <row r="1003" spans="1:10" ht="43.5" thickBot="1">
      <c r="A1003" s="1408">
        <v>30</v>
      </c>
      <c r="B1003" s="1413">
        <v>1.7224300000000002E+35</v>
      </c>
      <c r="C1003" s="1409" t="s">
        <v>2272</v>
      </c>
      <c r="D1003" s="1409">
        <v>900</v>
      </c>
      <c r="E1003" s="1409" t="s">
        <v>1985</v>
      </c>
      <c r="F1003" s="1409"/>
      <c r="G1003" s="1409" t="s">
        <v>2019</v>
      </c>
      <c r="H1003" s="1409" t="s">
        <v>2131</v>
      </c>
      <c r="I1003" s="1409" t="s">
        <v>2004</v>
      </c>
      <c r="J1003" s="1409"/>
    </row>
    <row r="1004" spans="1:10" ht="51.75" thickBot="1">
      <c r="A1004" s="1408">
        <v>31</v>
      </c>
      <c r="B1004" s="1413">
        <v>1.7224300000000002E+35</v>
      </c>
      <c r="C1004" s="1409" t="s">
        <v>2277</v>
      </c>
      <c r="D1004" s="1409">
        <v>10000</v>
      </c>
      <c r="E1004" s="1409" t="s">
        <v>1985</v>
      </c>
      <c r="F1004" s="1409"/>
      <c r="G1004" s="1409">
        <v>11</v>
      </c>
      <c r="H1004" s="1409" t="s">
        <v>2131</v>
      </c>
      <c r="I1004" s="1409" t="s">
        <v>2004</v>
      </c>
      <c r="J1004" s="1409"/>
    </row>
    <row r="1005" spans="1:10" ht="35.25" thickBot="1">
      <c r="A1005" s="1408">
        <v>32</v>
      </c>
      <c r="B1005" s="1413">
        <v>1.7224300000000002E+35</v>
      </c>
      <c r="C1005" s="1409" t="s">
        <v>522</v>
      </c>
      <c r="D1005" s="1409">
        <v>0</v>
      </c>
      <c r="E1005" s="1409" t="s">
        <v>1985</v>
      </c>
      <c r="F1005" s="1409"/>
      <c r="G1005" s="1409" t="s">
        <v>2020</v>
      </c>
      <c r="H1005" s="1409" t="s">
        <v>2281</v>
      </c>
      <c r="I1005" s="1409" t="s">
        <v>2021</v>
      </c>
      <c r="J1005" s="1409"/>
    </row>
    <row r="1006" spans="1:10" ht="35.25" thickBot="1">
      <c r="A1006" s="1408">
        <v>33</v>
      </c>
      <c r="B1006" s="1413">
        <v>1.7224300000000002E+35</v>
      </c>
      <c r="C1006" s="1409" t="s">
        <v>2291</v>
      </c>
      <c r="D1006" s="1409">
        <v>0</v>
      </c>
      <c r="E1006" s="1409" t="s">
        <v>1985</v>
      </c>
      <c r="F1006" s="1409"/>
      <c r="G1006" s="1409" t="s">
        <v>2022</v>
      </c>
      <c r="H1006" s="1409" t="s">
        <v>2281</v>
      </c>
      <c r="I1006" s="1409" t="s">
        <v>2021</v>
      </c>
      <c r="J1006" s="1409"/>
    </row>
    <row r="1007" spans="1:10" ht="35.25" thickBot="1">
      <c r="A1007" s="1408">
        <v>34</v>
      </c>
      <c r="B1007" s="1413">
        <v>1.7224300000000002E+35</v>
      </c>
      <c r="C1007" s="1409" t="s">
        <v>2299</v>
      </c>
      <c r="D1007" s="1409">
        <v>0</v>
      </c>
      <c r="E1007" s="1409" t="s">
        <v>1985</v>
      </c>
      <c r="F1007" s="1409"/>
      <c r="G1007" s="1409" t="s">
        <v>2023</v>
      </c>
      <c r="H1007" s="1409" t="s">
        <v>2281</v>
      </c>
      <c r="I1007" s="1409" t="s">
        <v>2024</v>
      </c>
      <c r="J1007" s="1409"/>
    </row>
    <row r="1008" spans="1:10" ht="43.5" thickBot="1">
      <c r="A1008" s="1408">
        <v>35</v>
      </c>
      <c r="B1008" s="1413">
        <v>1.7224300000000002E+35</v>
      </c>
      <c r="C1008" s="1409" t="s">
        <v>2309</v>
      </c>
      <c r="D1008" s="1409">
        <v>0</v>
      </c>
      <c r="E1008" s="1409" t="s">
        <v>1985</v>
      </c>
      <c r="F1008" s="1409"/>
      <c r="G1008" s="1409" t="s">
        <v>2025</v>
      </c>
      <c r="H1008" s="1409" t="s">
        <v>2281</v>
      </c>
      <c r="I1008" s="1409" t="s">
        <v>2021</v>
      </c>
      <c r="J1008" s="1409"/>
    </row>
    <row r="1009" spans="1:10" ht="35.25" thickBot="1">
      <c r="A1009" s="1408">
        <v>36</v>
      </c>
      <c r="B1009" s="1413">
        <v>1.7224300000000002E+35</v>
      </c>
      <c r="C1009" s="1409" t="s">
        <v>2323</v>
      </c>
      <c r="D1009" s="1409">
        <v>0</v>
      </c>
      <c r="E1009" s="1409" t="s">
        <v>1985</v>
      </c>
      <c r="F1009" s="1409"/>
      <c r="G1009" s="1409">
        <v>11.202299999999999</v>
      </c>
      <c r="H1009" s="1409" t="s">
        <v>2281</v>
      </c>
      <c r="I1009" s="1409" t="s">
        <v>2026</v>
      </c>
      <c r="J1009" s="1409"/>
    </row>
    <row r="1010" spans="1:10" ht="35.25" thickBot="1">
      <c r="A1010" s="1408">
        <v>37</v>
      </c>
      <c r="B1010" s="1413">
        <v>1.7224300000000002E+35</v>
      </c>
      <c r="C1010" s="1409" t="s">
        <v>2328</v>
      </c>
      <c r="D1010" s="1409">
        <v>0</v>
      </c>
      <c r="E1010" s="1409" t="s">
        <v>1985</v>
      </c>
      <c r="F1010" s="1409"/>
      <c r="G1010" s="1409">
        <v>5.0977499999999996</v>
      </c>
      <c r="H1010" s="1409" t="s">
        <v>2281</v>
      </c>
      <c r="I1010" s="1409" t="s">
        <v>2026</v>
      </c>
      <c r="J1010" s="1409"/>
    </row>
    <row r="1011" spans="1:10" ht="35.25" thickBot="1">
      <c r="A1011" s="1408">
        <v>38</v>
      </c>
      <c r="B1011" s="1413">
        <v>1.7224300000000002E+35</v>
      </c>
      <c r="C1011" s="1409" t="s">
        <v>2332</v>
      </c>
      <c r="D1011" s="1409" t="s">
        <v>2334</v>
      </c>
      <c r="E1011" s="1409" t="s">
        <v>1985</v>
      </c>
      <c r="F1011" s="1409"/>
      <c r="G1011" s="1409" t="s">
        <v>2027</v>
      </c>
      <c r="H1011" s="1409" t="s">
        <v>2281</v>
      </c>
      <c r="I1011" s="1409" t="s">
        <v>2026</v>
      </c>
      <c r="J1011" s="1409"/>
    </row>
    <row r="1012" spans="1:10" ht="35.25" thickBot="1">
      <c r="A1012" s="1408">
        <v>39</v>
      </c>
      <c r="B1012" s="1413">
        <v>1.7224300000000002E+35</v>
      </c>
      <c r="C1012" s="1409" t="s">
        <v>2343</v>
      </c>
      <c r="D1012" s="1409">
        <v>102945.60000000001</v>
      </c>
      <c r="E1012" s="1409" t="s">
        <v>1985</v>
      </c>
      <c r="F1012" s="1409"/>
      <c r="G1012" s="1409">
        <v>102.9456</v>
      </c>
      <c r="H1012" s="1409" t="s">
        <v>2281</v>
      </c>
      <c r="I1012" s="1409" t="s">
        <v>2021</v>
      </c>
      <c r="J1012" s="1409"/>
    </row>
    <row r="1013" spans="1:10" ht="43.5" thickBot="1">
      <c r="A1013" s="1408">
        <v>40</v>
      </c>
      <c r="B1013" s="1413">
        <v>1.7224300000000002E+35</v>
      </c>
      <c r="C1013" s="1409" t="s">
        <v>2348</v>
      </c>
      <c r="D1013" s="1409">
        <v>0</v>
      </c>
      <c r="E1013" s="1409" t="s">
        <v>1985</v>
      </c>
      <c r="F1013" s="1409"/>
      <c r="G1013" s="1409" t="s">
        <v>2028</v>
      </c>
      <c r="H1013" s="1409" t="s">
        <v>2281</v>
      </c>
      <c r="I1013" s="1409" t="s">
        <v>2026</v>
      </c>
      <c r="J1013" s="1409"/>
    </row>
    <row r="1014" spans="1:10" ht="35.25" thickBot="1">
      <c r="A1014" s="1408">
        <v>41</v>
      </c>
      <c r="B1014" s="1413">
        <v>1.7224300000000002E+35</v>
      </c>
      <c r="C1014" s="1409" t="s">
        <v>2353</v>
      </c>
      <c r="D1014" s="1409">
        <v>0</v>
      </c>
      <c r="E1014" s="1409" t="s">
        <v>1985</v>
      </c>
      <c r="F1014" s="1409"/>
      <c r="G1014" s="1409">
        <v>137.77600000000001</v>
      </c>
      <c r="H1014" s="1409" t="s">
        <v>2281</v>
      </c>
      <c r="I1014" s="1409" t="s">
        <v>2026</v>
      </c>
      <c r="J1014" s="1409"/>
    </row>
    <row r="1015" spans="1:10" ht="35.25" thickBot="1">
      <c r="A1015" s="1408">
        <v>42</v>
      </c>
      <c r="B1015" s="1413">
        <v>1.7224300000000002E+35</v>
      </c>
      <c r="C1015" s="1409" t="s">
        <v>2357</v>
      </c>
      <c r="D1015" s="1409">
        <v>0</v>
      </c>
      <c r="E1015" s="1409" t="s">
        <v>1985</v>
      </c>
      <c r="F1015" s="1409"/>
      <c r="G1015" s="1409" t="s">
        <v>2029</v>
      </c>
      <c r="H1015" s="1409" t="s">
        <v>2281</v>
      </c>
      <c r="I1015" s="1409" t="s">
        <v>2026</v>
      </c>
      <c r="J1015" s="1409"/>
    </row>
    <row r="1016" spans="1:10" ht="35.25" thickBot="1">
      <c r="A1016" s="1408">
        <v>43</v>
      </c>
      <c r="B1016" s="1413">
        <v>1.7224300000000002E+35</v>
      </c>
      <c r="C1016" s="1409" t="s">
        <v>2362</v>
      </c>
      <c r="D1016" s="1409">
        <v>0</v>
      </c>
      <c r="E1016" s="1409" t="s">
        <v>1985</v>
      </c>
      <c r="F1016" s="1409"/>
      <c r="G1016" s="1409" t="s">
        <v>2030</v>
      </c>
      <c r="H1016" s="1409" t="s">
        <v>2281</v>
      </c>
      <c r="I1016" s="1409" t="s">
        <v>2031</v>
      </c>
      <c r="J1016" s="1409"/>
    </row>
    <row r="1017" spans="1:10" ht="35.25" thickBot="1">
      <c r="A1017" s="1408">
        <v>44</v>
      </c>
      <c r="B1017" s="1413">
        <v>1.7224300000000002E+35</v>
      </c>
      <c r="C1017" s="1409" t="s">
        <v>2366</v>
      </c>
      <c r="D1017" s="1409">
        <v>0</v>
      </c>
      <c r="E1017" s="1409" t="s">
        <v>1985</v>
      </c>
      <c r="F1017" s="1409"/>
      <c r="G1017" s="1409" t="s">
        <v>2032</v>
      </c>
      <c r="H1017" s="1409" t="s">
        <v>2281</v>
      </c>
      <c r="I1017" s="1409" t="s">
        <v>2026</v>
      </c>
      <c r="J1017" s="1409"/>
    </row>
    <row r="1018" spans="1:10" ht="35.25" thickBot="1">
      <c r="A1018" s="1408">
        <v>45</v>
      </c>
      <c r="B1018" s="1413">
        <v>1.7224300000000002E+35</v>
      </c>
      <c r="C1018" s="1409" t="s">
        <v>2377</v>
      </c>
      <c r="D1018" s="1409">
        <v>176095.65</v>
      </c>
      <c r="E1018" s="1409" t="s">
        <v>1985</v>
      </c>
      <c r="F1018" s="1409"/>
      <c r="G1018" s="1409" t="s">
        <v>2033</v>
      </c>
      <c r="H1018" s="1409" t="s">
        <v>2281</v>
      </c>
      <c r="I1018" s="1409" t="s">
        <v>2034</v>
      </c>
      <c r="J1018" s="1409"/>
    </row>
    <row r="1019" spans="1:10" ht="35.25" thickBot="1">
      <c r="A1019" s="1408">
        <v>46</v>
      </c>
      <c r="B1019" s="1413">
        <v>1.7224300000000002E+35</v>
      </c>
      <c r="C1019" s="1409" t="s">
        <v>2386</v>
      </c>
      <c r="D1019" s="1409" t="s">
        <v>2388</v>
      </c>
      <c r="E1019" s="1409" t="s">
        <v>1985</v>
      </c>
      <c r="F1019" s="1409"/>
      <c r="G1019" s="1409" t="s">
        <v>2035</v>
      </c>
      <c r="H1019" s="1409" t="s">
        <v>2281</v>
      </c>
      <c r="I1019" s="1409" t="s">
        <v>2021</v>
      </c>
      <c r="J1019" s="1409"/>
    </row>
    <row r="1020" spans="1:10" ht="35.25" thickBot="1">
      <c r="A1020" s="1408">
        <v>47</v>
      </c>
      <c r="B1020" s="1413">
        <v>1.7224300000000002E+35</v>
      </c>
      <c r="C1020" s="1409" t="s">
        <v>2395</v>
      </c>
      <c r="D1020" s="1409">
        <v>0</v>
      </c>
      <c r="E1020" s="1409" t="s">
        <v>1985</v>
      </c>
      <c r="F1020" s="1409"/>
      <c r="G1020" s="1409">
        <v>10.735200000000001</v>
      </c>
      <c r="H1020" s="1409" t="s">
        <v>2281</v>
      </c>
      <c r="I1020" s="1409" t="s">
        <v>2026</v>
      </c>
      <c r="J1020" s="1409"/>
    </row>
    <row r="1021" spans="1:10" ht="43.5" thickBot="1">
      <c r="A1021" s="1408">
        <v>48</v>
      </c>
      <c r="B1021" s="1413">
        <v>1.7224300000000002E+35</v>
      </c>
      <c r="C1021" s="1409" t="s">
        <v>2402</v>
      </c>
      <c r="D1021" s="1409">
        <v>0</v>
      </c>
      <c r="E1021" s="1409" t="s">
        <v>1985</v>
      </c>
      <c r="F1021" s="1409"/>
      <c r="G1021" s="1409">
        <v>7.4090000000000003E-2</v>
      </c>
      <c r="H1021" s="1409" t="s">
        <v>2131</v>
      </c>
      <c r="I1021" s="1409" t="s">
        <v>2004</v>
      </c>
      <c r="J1021" s="1409"/>
    </row>
    <row r="1022" spans="1:10" ht="35.25" thickBot="1">
      <c r="A1022" s="1408">
        <v>49</v>
      </c>
      <c r="B1022" s="1413">
        <v>1.7224300000000002E+35</v>
      </c>
      <c r="C1022" s="1409" t="s">
        <v>2405</v>
      </c>
      <c r="D1022" s="1409" t="s">
        <v>2407</v>
      </c>
      <c r="E1022" s="1409" t="s">
        <v>1985</v>
      </c>
      <c r="F1022" s="1409"/>
      <c r="G1022" s="1409">
        <v>10.8063</v>
      </c>
      <c r="H1022" s="1409" t="s">
        <v>2281</v>
      </c>
      <c r="I1022" s="1409" t="s">
        <v>2036</v>
      </c>
      <c r="J1022" s="1409"/>
    </row>
    <row r="1023" spans="1:10" ht="43.5" thickBot="1">
      <c r="A1023" s="1408">
        <v>50</v>
      </c>
      <c r="B1023" s="1413">
        <v>1.7224300000000002E+35</v>
      </c>
      <c r="C1023" s="1409" t="s">
        <v>2420</v>
      </c>
      <c r="D1023" s="1409">
        <v>0</v>
      </c>
      <c r="E1023" s="1409" t="s">
        <v>1985</v>
      </c>
      <c r="F1023" s="1409"/>
      <c r="G1023" s="1409">
        <v>9.7004999999999999</v>
      </c>
      <c r="H1023" s="1409" t="s">
        <v>2131</v>
      </c>
      <c r="I1023" s="1409" t="s">
        <v>2026</v>
      </c>
      <c r="J1023" s="1409"/>
    </row>
    <row r="1024" spans="1:10" ht="76.5" thickBot="1">
      <c r="A1024" s="1408">
        <v>51</v>
      </c>
      <c r="B1024" s="1413">
        <v>1.7224300000000002E+35</v>
      </c>
      <c r="C1024" s="1409" t="s">
        <v>2424</v>
      </c>
      <c r="D1024" s="1409">
        <v>403798.02</v>
      </c>
      <c r="E1024" s="1409" t="s">
        <v>1985</v>
      </c>
      <c r="F1024" s="1409"/>
      <c r="G1024" s="1409">
        <v>402</v>
      </c>
      <c r="H1024" s="1409" t="s">
        <v>2131</v>
      </c>
      <c r="I1024" s="1409" t="s">
        <v>2004</v>
      </c>
      <c r="J1024" s="1409"/>
    </row>
    <row r="1025" spans="1:10" ht="76.5" thickBot="1">
      <c r="A1025" s="1408">
        <v>52</v>
      </c>
      <c r="B1025" s="1413">
        <v>1.7224300000000002E+35</v>
      </c>
      <c r="C1025" s="1409" t="s">
        <v>2424</v>
      </c>
      <c r="D1025" s="1409">
        <v>307403</v>
      </c>
      <c r="E1025" s="1409" t="s">
        <v>1985</v>
      </c>
      <c r="F1025" s="1409"/>
      <c r="G1025" s="1409" t="s">
        <v>2037</v>
      </c>
      <c r="H1025" s="1409" t="s">
        <v>2281</v>
      </c>
      <c r="I1025" s="1409" t="s">
        <v>2021</v>
      </c>
      <c r="J1025" s="1409"/>
    </row>
    <row r="1026" spans="1:10" ht="43.5" thickBot="1">
      <c r="A1026" s="1408">
        <v>53</v>
      </c>
      <c r="B1026" s="1413">
        <v>1.7224300000000002E+35</v>
      </c>
      <c r="C1026" s="1409" t="s">
        <v>2430</v>
      </c>
      <c r="D1026" s="1409">
        <v>25671</v>
      </c>
      <c r="E1026" s="1409" t="s">
        <v>1985</v>
      </c>
      <c r="F1026" s="1409"/>
      <c r="G1026" s="1409">
        <v>25.670999999999999</v>
      </c>
      <c r="H1026" s="1409" t="s">
        <v>2131</v>
      </c>
      <c r="I1026" s="1409" t="s">
        <v>2038</v>
      </c>
      <c r="J1026" s="1409"/>
    </row>
    <row r="1027" spans="1:10" ht="60" thickBot="1">
      <c r="A1027" s="1408">
        <v>54</v>
      </c>
      <c r="B1027" s="1413">
        <v>1.7224300000000002E+35</v>
      </c>
      <c r="C1027" s="1409" t="s">
        <v>2462</v>
      </c>
      <c r="D1027" s="1409">
        <v>588874</v>
      </c>
      <c r="E1027" s="1409" t="s">
        <v>1985</v>
      </c>
      <c r="F1027" s="1409"/>
      <c r="G1027" s="1409" t="s">
        <v>2039</v>
      </c>
      <c r="H1027" s="1409" t="s">
        <v>2131</v>
      </c>
      <c r="I1027" s="1409" t="s">
        <v>2004</v>
      </c>
      <c r="J1027" s="1409"/>
    </row>
    <row r="1028" spans="1:10" ht="43.5" thickBot="1">
      <c r="A1028" s="1408">
        <v>55</v>
      </c>
      <c r="B1028" s="1413">
        <v>1.7224300000000002E+35</v>
      </c>
      <c r="C1028" s="1409" t="s">
        <v>1410</v>
      </c>
      <c r="D1028" s="1409" t="s">
        <v>1412</v>
      </c>
      <c r="E1028" s="1409" t="s">
        <v>1985</v>
      </c>
      <c r="F1028" s="1409"/>
      <c r="G1028" s="1409">
        <v>4.1559999999999997</v>
      </c>
      <c r="H1028" s="1409" t="s">
        <v>2131</v>
      </c>
      <c r="I1028" s="1409" t="s">
        <v>2040</v>
      </c>
      <c r="J1028" s="1409"/>
    </row>
    <row r="1029" spans="1:10" ht="43.5" thickBot="1">
      <c r="A1029" s="1408">
        <v>56</v>
      </c>
      <c r="B1029" s="1413">
        <v>1.7224300000000002E+35</v>
      </c>
      <c r="C1029" s="1409" t="s">
        <v>1431</v>
      </c>
      <c r="D1029" s="1409">
        <v>21938</v>
      </c>
      <c r="E1029" s="1409" t="s">
        <v>1985</v>
      </c>
      <c r="F1029" s="1409"/>
      <c r="G1029" s="1409">
        <v>11.2</v>
      </c>
      <c r="H1029" s="1409" t="s">
        <v>2131</v>
      </c>
      <c r="I1029" s="1409" t="s">
        <v>2004</v>
      </c>
      <c r="J1029" s="1409"/>
    </row>
    <row r="1030" spans="1:10" ht="60" thickBot="1">
      <c r="A1030" s="1408">
        <v>57</v>
      </c>
      <c r="B1030" s="1413">
        <v>1.7224300000000002E+35</v>
      </c>
      <c r="C1030" s="1409" t="s">
        <v>1445</v>
      </c>
      <c r="D1030" s="1409" t="s">
        <v>1447</v>
      </c>
      <c r="E1030" s="1409" t="s">
        <v>1985</v>
      </c>
      <c r="F1030" s="1409"/>
      <c r="G1030" s="1409">
        <v>30.154</v>
      </c>
      <c r="H1030" s="1409" t="s">
        <v>2131</v>
      </c>
      <c r="I1030" s="1409" t="s">
        <v>2041</v>
      </c>
      <c r="J1030" s="1409"/>
    </row>
    <row r="1031" spans="1:10" ht="43.5" thickBot="1">
      <c r="A1031" s="1408">
        <v>58</v>
      </c>
      <c r="B1031" s="1413">
        <v>1.7224300000000002E+35</v>
      </c>
      <c r="C1031" s="1409" t="s">
        <v>1455</v>
      </c>
      <c r="D1031" s="1409">
        <v>6020</v>
      </c>
      <c r="E1031" s="1409" t="s">
        <v>1985</v>
      </c>
      <c r="F1031" s="1409"/>
      <c r="G1031" s="1409">
        <v>4.3680000000000003</v>
      </c>
      <c r="H1031" s="1409" t="s">
        <v>2131</v>
      </c>
      <c r="I1031" s="1409" t="s">
        <v>1997</v>
      </c>
      <c r="J1031" s="1409"/>
    </row>
    <row r="1032" spans="1:10" ht="43.5" thickBot="1">
      <c r="A1032" s="1408">
        <v>59</v>
      </c>
      <c r="B1032" s="1413">
        <v>1.7224300000000002E+35</v>
      </c>
      <c r="C1032" s="1409" t="s">
        <v>1458</v>
      </c>
      <c r="D1032" s="1409">
        <v>21795.02</v>
      </c>
      <c r="E1032" s="1409" t="s">
        <v>1985</v>
      </c>
      <c r="F1032" s="1409"/>
      <c r="G1032" s="1409">
        <v>21.43</v>
      </c>
      <c r="H1032" s="1409" t="s">
        <v>2131</v>
      </c>
      <c r="I1032" s="1409" t="s">
        <v>2042</v>
      </c>
      <c r="J1032" s="1409"/>
    </row>
    <row r="1033" spans="1:10" ht="43.5" thickBot="1">
      <c r="A1033" s="1408">
        <v>60</v>
      </c>
      <c r="B1033" s="1413">
        <v>1.7224300000000002E+35</v>
      </c>
      <c r="C1033" s="1409" t="s">
        <v>2541</v>
      </c>
      <c r="D1033" s="1409">
        <v>24248</v>
      </c>
      <c r="E1033" s="1409" t="s">
        <v>1985</v>
      </c>
      <c r="F1033" s="1409"/>
      <c r="G1033" s="1409">
        <v>21.497</v>
      </c>
      <c r="H1033" s="1409" t="s">
        <v>2131</v>
      </c>
      <c r="I1033" s="1409" t="s">
        <v>2007</v>
      </c>
      <c r="J1033" s="1409"/>
    </row>
    <row r="1034" spans="1:10" ht="43.5" thickBot="1">
      <c r="A1034" s="1408">
        <v>61</v>
      </c>
      <c r="B1034" s="1413">
        <v>1.7224300000000002E+35</v>
      </c>
      <c r="C1034" s="1409" t="s">
        <v>2545</v>
      </c>
      <c r="D1034" s="1409">
        <v>15554</v>
      </c>
      <c r="E1034" s="1409" t="s">
        <v>1985</v>
      </c>
      <c r="F1034" s="1409"/>
      <c r="G1034" s="1409">
        <v>16.59</v>
      </c>
      <c r="H1034" s="1409" t="s">
        <v>2131</v>
      </c>
      <c r="I1034" s="1409" t="s">
        <v>2043</v>
      </c>
      <c r="J1034" s="1409"/>
    </row>
    <row r="1035" spans="1:10" ht="76.5" thickBot="1">
      <c r="A1035" s="1408">
        <v>62</v>
      </c>
      <c r="B1035" s="1413">
        <v>1.7224300000000002E+35</v>
      </c>
      <c r="C1035" s="1409" t="s">
        <v>2554</v>
      </c>
      <c r="D1035" s="1409">
        <v>91491</v>
      </c>
      <c r="E1035" s="1409" t="s">
        <v>1985</v>
      </c>
      <c r="F1035" s="1409"/>
      <c r="G1035" s="1409">
        <v>63.107999999999997</v>
      </c>
      <c r="H1035" s="1409" t="s">
        <v>2131</v>
      </c>
      <c r="I1035" s="1409" t="s">
        <v>2044</v>
      </c>
      <c r="J1035" s="1409"/>
    </row>
    <row r="1036" spans="1:10" ht="43.5" thickBot="1">
      <c r="A1036" s="1408">
        <v>63</v>
      </c>
      <c r="B1036" s="1413">
        <v>1.7224300000000002E+35</v>
      </c>
      <c r="C1036" s="1409" t="s">
        <v>2585</v>
      </c>
      <c r="D1036" s="1409">
        <v>23670</v>
      </c>
      <c r="E1036" s="1409" t="s">
        <v>1985</v>
      </c>
      <c r="F1036" s="1409"/>
      <c r="G1036" s="1409">
        <v>14.813000000000001</v>
      </c>
      <c r="H1036" s="1409" t="s">
        <v>2131</v>
      </c>
      <c r="I1036" s="1409" t="s">
        <v>2045</v>
      </c>
      <c r="J1036" s="1409"/>
    </row>
    <row r="1037" spans="1:10" ht="43.5" thickBot="1">
      <c r="A1037" s="1408">
        <v>64</v>
      </c>
      <c r="B1037" s="1413">
        <v>1.7224300000000002E+35</v>
      </c>
      <c r="C1037" s="1409" t="s">
        <v>2591</v>
      </c>
      <c r="D1037" s="1409">
        <v>64018.46</v>
      </c>
      <c r="E1037" s="1409" t="s">
        <v>1985</v>
      </c>
      <c r="F1037" s="1409"/>
      <c r="G1037" s="1409" t="s">
        <v>2046</v>
      </c>
      <c r="H1037" s="1409" t="s">
        <v>2131</v>
      </c>
      <c r="I1037" s="1409" t="s">
        <v>2047</v>
      </c>
      <c r="J1037" s="1409"/>
    </row>
    <row r="1038" spans="1:10" ht="35.25" thickBot="1">
      <c r="A1038" s="1408">
        <v>65</v>
      </c>
      <c r="B1038" s="1413">
        <v>1.7224300000000002E+35</v>
      </c>
      <c r="C1038" s="1409" t="s">
        <v>2607</v>
      </c>
      <c r="D1038" s="1409">
        <v>14717.1</v>
      </c>
      <c r="E1038" s="1409" t="s">
        <v>1985</v>
      </c>
      <c r="F1038" s="1409"/>
      <c r="G1038" s="1409">
        <v>22.298999999999999</v>
      </c>
      <c r="H1038" s="1409" t="s">
        <v>2281</v>
      </c>
      <c r="I1038" s="1409" t="s">
        <v>2026</v>
      </c>
      <c r="J1038" s="1409"/>
    </row>
    <row r="1039" spans="1:10" ht="35.25" thickBot="1">
      <c r="A1039" s="1408">
        <v>66</v>
      </c>
      <c r="B1039" s="1413">
        <v>1.7224300000000002E+35</v>
      </c>
      <c r="C1039" s="1409" t="s">
        <v>2616</v>
      </c>
      <c r="D1039" s="1409">
        <v>13389.36</v>
      </c>
      <c r="E1039" s="1409" t="s">
        <v>1985</v>
      </c>
      <c r="F1039" s="1409"/>
      <c r="G1039" s="1409" t="s">
        <v>2048</v>
      </c>
      <c r="H1039" s="1409" t="s">
        <v>2281</v>
      </c>
      <c r="I1039" s="1409" t="s">
        <v>2026</v>
      </c>
      <c r="J1039" s="1409"/>
    </row>
    <row r="1040" spans="1:10" ht="35.25" thickBot="1">
      <c r="A1040" s="1408">
        <v>67</v>
      </c>
      <c r="B1040" s="1413">
        <v>1.7224300000000002E+35</v>
      </c>
      <c r="C1040" s="1409" t="s">
        <v>2623</v>
      </c>
      <c r="D1040" s="1409">
        <v>7332.5</v>
      </c>
      <c r="E1040" s="1409" t="s">
        <v>1985</v>
      </c>
      <c r="F1040" s="1409"/>
      <c r="G1040" s="1409" t="s">
        <v>2049</v>
      </c>
      <c r="H1040" s="1409" t="s">
        <v>2281</v>
      </c>
      <c r="I1040" s="1409" t="s">
        <v>2026</v>
      </c>
      <c r="J1040" s="1409"/>
    </row>
    <row r="1041" spans="1:10" ht="35.25" thickBot="1">
      <c r="A1041" s="1408">
        <v>68</v>
      </c>
      <c r="B1041" s="1413">
        <v>1.7224300000000002E+35</v>
      </c>
      <c r="C1041" s="1409" t="s">
        <v>2323</v>
      </c>
      <c r="D1041" s="1409">
        <v>3378.2</v>
      </c>
      <c r="E1041" s="1409" t="s">
        <v>1985</v>
      </c>
      <c r="F1041" s="1409"/>
      <c r="G1041" s="1409" t="s">
        <v>2050</v>
      </c>
      <c r="H1041" s="1409" t="s">
        <v>2281</v>
      </c>
      <c r="I1041" s="1409" t="s">
        <v>2026</v>
      </c>
      <c r="J1041" s="1409"/>
    </row>
    <row r="1042" spans="1:10" ht="35.25" thickBot="1">
      <c r="A1042" s="1408">
        <v>69</v>
      </c>
      <c r="B1042" s="1413">
        <v>1.7224300000000002E+35</v>
      </c>
      <c r="C1042" s="1409" t="s">
        <v>2637</v>
      </c>
      <c r="D1042" s="1409">
        <v>2740.6</v>
      </c>
      <c r="E1042" s="1409" t="s">
        <v>1985</v>
      </c>
      <c r="F1042" s="1409"/>
      <c r="G1042" s="1409" t="s">
        <v>2051</v>
      </c>
      <c r="H1042" s="1409" t="s">
        <v>2281</v>
      </c>
      <c r="I1042" s="1409" t="s">
        <v>2026</v>
      </c>
      <c r="J1042" s="1409"/>
    </row>
    <row r="1043" spans="1:10" ht="35.25" thickBot="1">
      <c r="A1043" s="1408">
        <v>70</v>
      </c>
      <c r="B1043" s="1413">
        <v>1.7224300000000002E+35</v>
      </c>
      <c r="C1043" s="1409" t="s">
        <v>2641</v>
      </c>
      <c r="D1043" s="1409">
        <v>64926</v>
      </c>
      <c r="E1043" s="1409" t="s">
        <v>1985</v>
      </c>
      <c r="F1043" s="1409"/>
      <c r="G1043" s="1409">
        <v>151.02000000000001</v>
      </c>
      <c r="H1043" s="1409" t="s">
        <v>2281</v>
      </c>
      <c r="I1043" s="1409" t="s">
        <v>2052</v>
      </c>
      <c r="J1043" s="1409"/>
    </row>
    <row r="1044" spans="1:10" ht="35.25" thickBot="1">
      <c r="A1044" s="1408">
        <v>71</v>
      </c>
      <c r="B1044" s="1413">
        <v>1.7224300000000002E+35</v>
      </c>
      <c r="C1044" s="1409" t="s">
        <v>2641</v>
      </c>
      <c r="D1044" s="1409">
        <v>41005.68</v>
      </c>
      <c r="E1044" s="1409" t="s">
        <v>1985</v>
      </c>
      <c r="F1044" s="1409"/>
      <c r="G1044" s="1409" t="s">
        <v>2053</v>
      </c>
      <c r="H1044" s="1409" t="s">
        <v>2281</v>
      </c>
      <c r="I1044" s="1409" t="s">
        <v>2026</v>
      </c>
      <c r="J1044" s="1409"/>
    </row>
    <row r="1045" spans="1:10" ht="68.25" thickBot="1">
      <c r="A1045" s="1408">
        <v>72</v>
      </c>
      <c r="B1045" s="1413">
        <v>1.7224300000000002E+35</v>
      </c>
      <c r="C1045" s="1409" t="s">
        <v>2648</v>
      </c>
      <c r="D1045" s="1409">
        <v>5525</v>
      </c>
      <c r="E1045" s="1409" t="s">
        <v>1985</v>
      </c>
      <c r="F1045" s="1409"/>
      <c r="G1045" s="1409" t="s">
        <v>2054</v>
      </c>
      <c r="H1045" s="1409" t="s">
        <v>2281</v>
      </c>
      <c r="I1045" s="1409" t="s">
        <v>2026</v>
      </c>
      <c r="J1045" s="1409"/>
    </row>
    <row r="1046" spans="1:10" ht="43.5" thickBot="1">
      <c r="A1046" s="1408">
        <v>73</v>
      </c>
      <c r="B1046" s="1413">
        <v>1.7224300000000002E+35</v>
      </c>
      <c r="C1046" s="1409" t="s">
        <v>2656</v>
      </c>
      <c r="D1046" s="1409">
        <v>101802.2</v>
      </c>
      <c r="E1046" s="1409" t="s">
        <v>1985</v>
      </c>
      <c r="F1046" s="1409"/>
      <c r="G1046" s="1409" t="s">
        <v>2055</v>
      </c>
      <c r="H1046" s="1409" t="s">
        <v>2281</v>
      </c>
      <c r="I1046" s="1409" t="s">
        <v>2026</v>
      </c>
      <c r="J1046" s="1409"/>
    </row>
    <row r="1047" spans="1:10" ht="60" thickBot="1">
      <c r="A1047" s="1408">
        <v>74</v>
      </c>
      <c r="B1047" s="1413">
        <v>1.7224300000000002E+35</v>
      </c>
      <c r="C1047" s="1409" t="s">
        <v>2662</v>
      </c>
      <c r="D1047" s="1409">
        <v>28770</v>
      </c>
      <c r="E1047" s="1409" t="s">
        <v>1985</v>
      </c>
      <c r="F1047" s="1409"/>
      <c r="G1047" s="1409" t="s">
        <v>2056</v>
      </c>
      <c r="H1047" s="1409" t="s">
        <v>2281</v>
      </c>
      <c r="I1047" s="1409" t="s">
        <v>2026</v>
      </c>
      <c r="J1047" s="1409"/>
    </row>
    <row r="1048" spans="1:10" ht="35.25" thickBot="1">
      <c r="A1048" s="1408">
        <v>75</v>
      </c>
      <c r="B1048" s="1413">
        <v>1.7224300000000002E+35</v>
      </c>
      <c r="C1048" s="1409" t="s">
        <v>2666</v>
      </c>
      <c r="D1048" s="1409">
        <v>30963.599999999999</v>
      </c>
      <c r="E1048" s="1409" t="s">
        <v>1985</v>
      </c>
      <c r="F1048" s="1409"/>
      <c r="G1048" s="1409" t="s">
        <v>2057</v>
      </c>
      <c r="H1048" s="1409" t="s">
        <v>2281</v>
      </c>
      <c r="I1048" s="1409" t="s">
        <v>2026</v>
      </c>
      <c r="J1048" s="1409"/>
    </row>
    <row r="1049" spans="1:10" ht="51.75" thickBot="1">
      <c r="A1049" s="1408">
        <v>76</v>
      </c>
      <c r="B1049" s="1413">
        <v>1.7224300000000002E+35</v>
      </c>
      <c r="C1049" s="1409" t="s">
        <v>2672</v>
      </c>
      <c r="D1049" s="1409">
        <v>49201.14</v>
      </c>
      <c r="E1049" s="1409" t="s">
        <v>1985</v>
      </c>
      <c r="F1049" s="1409"/>
      <c r="G1049" s="1409" t="s">
        <v>2058</v>
      </c>
      <c r="H1049" s="1409" t="s">
        <v>2281</v>
      </c>
      <c r="I1049" s="1409" t="s">
        <v>2034</v>
      </c>
      <c r="J1049" s="1409"/>
    </row>
    <row r="1050" spans="1:10" ht="76.5" thickBot="1">
      <c r="A1050" s="1408">
        <v>77</v>
      </c>
      <c r="B1050" s="1413">
        <v>1.7224300000000002E+35</v>
      </c>
      <c r="C1050" s="1409" t="s">
        <v>2679</v>
      </c>
      <c r="D1050" s="1409">
        <v>2940.4</v>
      </c>
      <c r="E1050" s="1409" t="s">
        <v>1985</v>
      </c>
      <c r="F1050" s="1409"/>
      <c r="G1050" s="1409" t="s">
        <v>2059</v>
      </c>
      <c r="H1050" s="1409" t="s">
        <v>2281</v>
      </c>
      <c r="I1050" s="1409" t="s">
        <v>2026</v>
      </c>
      <c r="J1050" s="1409"/>
    </row>
    <row r="1051" spans="1:10" ht="35.25" thickBot="1">
      <c r="A1051" s="1408">
        <v>78</v>
      </c>
      <c r="B1051" s="1413">
        <v>1.7224300000000002E+35</v>
      </c>
      <c r="C1051" s="1409" t="s">
        <v>2685</v>
      </c>
      <c r="D1051" s="1409">
        <v>15337.98</v>
      </c>
      <c r="E1051" s="1409" t="s">
        <v>1985</v>
      </c>
      <c r="F1051" s="1409"/>
      <c r="G1051" s="1409" t="s">
        <v>2060</v>
      </c>
      <c r="H1051" s="1409" t="s">
        <v>2281</v>
      </c>
      <c r="I1051" s="1409" t="s">
        <v>2026</v>
      </c>
      <c r="J1051" s="1409"/>
    </row>
    <row r="1052" spans="1:10" ht="68.25" thickBot="1">
      <c r="A1052" s="1408">
        <v>79</v>
      </c>
      <c r="B1052" s="1413">
        <v>1.7224300000000002E+35</v>
      </c>
      <c r="C1052" s="1409" t="s">
        <v>2689</v>
      </c>
      <c r="D1052" s="1409" t="s">
        <v>2690</v>
      </c>
      <c r="E1052" s="1409" t="s">
        <v>1985</v>
      </c>
      <c r="F1052" s="1409"/>
      <c r="G1052" s="1409" t="s">
        <v>2061</v>
      </c>
      <c r="H1052" s="1409" t="s">
        <v>2281</v>
      </c>
      <c r="I1052" s="1409" t="s">
        <v>2026</v>
      </c>
      <c r="J1052" s="1409"/>
    </row>
    <row r="1053" spans="1:10" ht="35.25" thickBot="1">
      <c r="A1053" s="1408">
        <v>80</v>
      </c>
      <c r="B1053" s="1413">
        <v>1.7224300000000002E+35</v>
      </c>
      <c r="C1053" s="1409" t="s">
        <v>2695</v>
      </c>
      <c r="D1053" s="1409">
        <v>11130.42</v>
      </c>
      <c r="E1053" s="1409" t="s">
        <v>1985</v>
      </c>
      <c r="F1053" s="1409"/>
      <c r="G1053" s="1409" t="s">
        <v>2062</v>
      </c>
      <c r="H1053" s="1409" t="s">
        <v>2281</v>
      </c>
      <c r="I1053" s="1409" t="s">
        <v>2026</v>
      </c>
      <c r="J1053" s="1409"/>
    </row>
    <row r="1054" spans="1:10" ht="51.75" thickBot="1">
      <c r="A1054" s="1408">
        <v>81</v>
      </c>
      <c r="B1054" s="1413">
        <v>1.7224300000000002E+35</v>
      </c>
      <c r="C1054" s="1409" t="s">
        <v>2672</v>
      </c>
      <c r="D1054" s="1409">
        <v>4248.28</v>
      </c>
      <c r="E1054" s="1409" t="s">
        <v>1985</v>
      </c>
      <c r="F1054" s="1409"/>
      <c r="G1054" s="1409">
        <v>6.4369199999999998</v>
      </c>
      <c r="H1054" s="1409" t="s">
        <v>2281</v>
      </c>
      <c r="I1054" s="1409" t="s">
        <v>2026</v>
      </c>
      <c r="J1054" s="1409"/>
    </row>
    <row r="1055" spans="1:10" ht="35.25" thickBot="1">
      <c r="A1055" s="1408">
        <v>82</v>
      </c>
      <c r="B1055" s="1413">
        <v>1.7224300000000002E+35</v>
      </c>
      <c r="C1055" s="1409" t="s">
        <v>2616</v>
      </c>
      <c r="D1055" s="1409">
        <v>29431.52</v>
      </c>
      <c r="E1055" s="1409" t="s">
        <v>1985</v>
      </c>
      <c r="F1055" s="1409"/>
      <c r="G1055" s="1409">
        <v>58.281649999999999</v>
      </c>
      <c r="H1055" s="1409" t="s">
        <v>2281</v>
      </c>
      <c r="I1055" s="1409" t="s">
        <v>2026</v>
      </c>
      <c r="J1055" s="1409"/>
    </row>
    <row r="1056" spans="1:10" ht="35.25" thickBot="1">
      <c r="A1056" s="1408">
        <v>83</v>
      </c>
      <c r="B1056" s="1413">
        <v>1.7224300000000002E+35</v>
      </c>
      <c r="C1056" s="1409" t="s">
        <v>2641</v>
      </c>
      <c r="D1056" s="1409">
        <v>42158</v>
      </c>
      <c r="E1056" s="1409" t="s">
        <v>1985</v>
      </c>
      <c r="F1056" s="1409"/>
      <c r="G1056" s="1409" t="s">
        <v>2466</v>
      </c>
      <c r="H1056" s="1409" t="s">
        <v>2281</v>
      </c>
      <c r="I1056" s="1409" t="s">
        <v>2034</v>
      </c>
      <c r="J1056" s="1409"/>
    </row>
    <row r="1057" spans="1:10" ht="51.75" thickBot="1">
      <c r="A1057" s="1408">
        <v>84</v>
      </c>
      <c r="B1057" s="1413">
        <v>1.7224300000000002E+35</v>
      </c>
      <c r="C1057" s="1409" t="s">
        <v>2672</v>
      </c>
      <c r="D1057" s="1409">
        <v>76543.67</v>
      </c>
      <c r="E1057" s="1409" t="s">
        <v>1985</v>
      </c>
      <c r="F1057" s="1409"/>
      <c r="G1057" s="1409">
        <v>76.543000000000006</v>
      </c>
      <c r="H1057" s="1409" t="s">
        <v>2281</v>
      </c>
      <c r="I1057" s="1409" t="s">
        <v>2026</v>
      </c>
      <c r="J1057" s="1409"/>
    </row>
    <row r="1058" spans="1:10" ht="35.25" thickBot="1">
      <c r="A1058" s="1408">
        <v>85</v>
      </c>
      <c r="B1058" s="1413">
        <v>1.7224300000000002E+35</v>
      </c>
      <c r="C1058" s="1409" t="s">
        <v>2736</v>
      </c>
      <c r="D1058" s="1409" t="s">
        <v>2738</v>
      </c>
      <c r="E1058" s="1409" t="s">
        <v>1985</v>
      </c>
      <c r="F1058" s="1409"/>
      <c r="G1058" s="1409">
        <v>10.8063</v>
      </c>
      <c r="H1058" s="1409" t="s">
        <v>2281</v>
      </c>
      <c r="I1058" s="1409" t="s">
        <v>2026</v>
      </c>
      <c r="J1058" s="1409"/>
    </row>
    <row r="1059" spans="1:10" ht="43.5" thickBot="1">
      <c r="A1059" s="1408">
        <v>86</v>
      </c>
      <c r="B1059" s="1413">
        <v>1.7224300000000002E+35</v>
      </c>
      <c r="C1059" s="1409" t="s">
        <v>2746</v>
      </c>
      <c r="D1059" s="1409">
        <v>18863.72</v>
      </c>
      <c r="E1059" s="1409" t="s">
        <v>1985</v>
      </c>
      <c r="F1059" s="1409"/>
      <c r="G1059" s="1409" t="s">
        <v>2467</v>
      </c>
      <c r="H1059" s="1409" t="s">
        <v>2131</v>
      </c>
      <c r="I1059" s="1409" t="s">
        <v>2026</v>
      </c>
      <c r="J1059" s="1409"/>
    </row>
    <row r="1060" spans="1:10" ht="68.25" thickBot="1">
      <c r="A1060" s="1408">
        <v>87</v>
      </c>
      <c r="B1060" s="1413">
        <v>1.7224300000000002E+35</v>
      </c>
      <c r="C1060" s="1409" t="s">
        <v>2750</v>
      </c>
      <c r="D1060" s="1409">
        <v>150171.44</v>
      </c>
      <c r="E1060" s="1409" t="s">
        <v>1985</v>
      </c>
      <c r="F1060" s="1409"/>
      <c r="G1060" s="1409" t="s">
        <v>2468</v>
      </c>
      <c r="H1060" s="1409" t="s">
        <v>2131</v>
      </c>
      <c r="I1060" s="1409" t="s">
        <v>2026</v>
      </c>
      <c r="J1060" s="1409"/>
    </row>
    <row r="1061" spans="1:10" ht="60" thickBot="1">
      <c r="A1061" s="1408">
        <v>88</v>
      </c>
      <c r="B1061" s="1413">
        <v>1.7224300000000002E+35</v>
      </c>
      <c r="C1061" s="1409" t="s">
        <v>2754</v>
      </c>
      <c r="D1061" s="1409">
        <v>20180.36</v>
      </c>
      <c r="E1061" s="1409" t="s">
        <v>1985</v>
      </c>
      <c r="F1061" s="1409"/>
      <c r="G1061" s="1409">
        <v>54.165089999999999</v>
      </c>
      <c r="H1061" s="1409" t="s">
        <v>2131</v>
      </c>
      <c r="I1061" s="1409" t="s">
        <v>2026</v>
      </c>
      <c r="J1061" s="1409"/>
    </row>
    <row r="1062" spans="1:10" ht="35.25" thickBot="1">
      <c r="A1062" s="1408">
        <v>89</v>
      </c>
      <c r="B1062" s="1413">
        <v>1.7224300000000002E+35</v>
      </c>
      <c r="C1062" s="1409" t="s">
        <v>2758</v>
      </c>
      <c r="D1062" s="1409">
        <v>59853.65</v>
      </c>
      <c r="E1062" s="1409" t="s">
        <v>1985</v>
      </c>
      <c r="F1062" s="1409"/>
      <c r="G1062" s="1409">
        <v>159.61009999999999</v>
      </c>
      <c r="H1062" s="1409" t="s">
        <v>2281</v>
      </c>
      <c r="I1062" s="1409" t="s">
        <v>2026</v>
      </c>
      <c r="J1062" s="1409"/>
    </row>
    <row r="1063" spans="1:10" ht="35.25" thickBot="1">
      <c r="A1063" s="1408">
        <v>90</v>
      </c>
      <c r="B1063" s="1413">
        <v>1.7224300000000002E+35</v>
      </c>
      <c r="C1063" s="1409" t="s">
        <v>2764</v>
      </c>
      <c r="D1063" s="1409">
        <v>3054.6</v>
      </c>
      <c r="E1063" s="1409" t="s">
        <v>1985</v>
      </c>
      <c r="F1063" s="1409"/>
      <c r="G1063" s="1409">
        <v>6.7140000000000004</v>
      </c>
      <c r="H1063" s="1409" t="s">
        <v>2281</v>
      </c>
      <c r="I1063" s="1409" t="s">
        <v>2026</v>
      </c>
      <c r="J1063" s="1409"/>
    </row>
    <row r="1064" spans="1:10" ht="35.25" thickBot="1">
      <c r="A1064" s="1408">
        <v>91</v>
      </c>
      <c r="B1064" s="1413">
        <v>1.7224300000000002E+35</v>
      </c>
      <c r="C1064" s="1409" t="s">
        <v>2641</v>
      </c>
      <c r="D1064" s="1409">
        <v>41551.199999999997</v>
      </c>
      <c r="E1064" s="1409" t="s">
        <v>1985</v>
      </c>
      <c r="F1064" s="1409"/>
      <c r="G1064" s="1409">
        <v>41.76</v>
      </c>
      <c r="H1064" s="1409" t="s">
        <v>2281</v>
      </c>
      <c r="I1064" s="1409" t="s">
        <v>2026</v>
      </c>
      <c r="J1064" s="1409"/>
    </row>
    <row r="1065" spans="1:10" ht="43.5" thickBot="1">
      <c r="A1065" s="1408">
        <v>92</v>
      </c>
      <c r="B1065" s="1413">
        <v>1.7224300000000002E+35</v>
      </c>
      <c r="C1065" s="1409" t="s">
        <v>2773</v>
      </c>
      <c r="D1065" s="1409">
        <v>22909.200000000001</v>
      </c>
      <c r="E1065" s="1409" t="s">
        <v>1985</v>
      </c>
      <c r="F1065" s="1409"/>
      <c r="G1065" s="1409" t="s">
        <v>2469</v>
      </c>
      <c r="H1065" s="1409" t="s">
        <v>2281</v>
      </c>
      <c r="I1065" s="1409" t="s">
        <v>2470</v>
      </c>
      <c r="J1065" s="1409"/>
    </row>
    <row r="1066" spans="1:10" ht="60" thickBot="1">
      <c r="A1066" s="1408">
        <v>93</v>
      </c>
      <c r="B1066" s="1413">
        <v>1.7224300000000002E+35</v>
      </c>
      <c r="C1066" s="1409" t="s">
        <v>2780</v>
      </c>
      <c r="D1066" s="1409">
        <v>512857</v>
      </c>
      <c r="E1066" s="1409" t="s">
        <v>2471</v>
      </c>
      <c r="F1066" s="1409"/>
      <c r="G1066" s="1409" t="s">
        <v>2472</v>
      </c>
      <c r="H1066" s="1409" t="s">
        <v>2131</v>
      </c>
      <c r="I1066" s="1409" t="s">
        <v>2473</v>
      </c>
      <c r="J1066" s="1409"/>
    </row>
    <row r="1067" spans="1:10" ht="68.25" thickBot="1">
      <c r="A1067" s="1408">
        <v>94</v>
      </c>
      <c r="B1067" s="1413">
        <v>1.7224300000000002E+35</v>
      </c>
      <c r="C1067" s="1409" t="s">
        <v>2783</v>
      </c>
      <c r="D1067" s="1409">
        <v>7722.6</v>
      </c>
      <c r="E1067" s="1409" t="s">
        <v>2471</v>
      </c>
      <c r="F1067" s="1409"/>
      <c r="G1067" s="1409" t="s">
        <v>2474</v>
      </c>
      <c r="H1067" s="1409" t="s">
        <v>2131</v>
      </c>
      <c r="I1067" s="1409" t="s">
        <v>2008</v>
      </c>
      <c r="J1067" s="1409"/>
    </row>
    <row r="1068" spans="1:10" ht="142.5" thickBot="1">
      <c r="A1068" s="1408">
        <v>95</v>
      </c>
      <c r="B1068" s="1413">
        <v>1.7224300000000002E+35</v>
      </c>
      <c r="C1068" s="1409" t="s">
        <v>2427</v>
      </c>
      <c r="D1068" s="1409">
        <v>402000</v>
      </c>
      <c r="E1068" s="1409" t="s">
        <v>1985</v>
      </c>
      <c r="F1068" s="1409"/>
      <c r="G1068" s="1409">
        <v>402000</v>
      </c>
      <c r="H1068" s="1409" t="s">
        <v>2786</v>
      </c>
      <c r="I1068" s="1409" t="s">
        <v>2008</v>
      </c>
      <c r="J1068" s="1409"/>
    </row>
    <row r="1069" spans="1:10" ht="43.5" thickBot="1">
      <c r="A1069" s="1408">
        <v>96</v>
      </c>
      <c r="B1069" s="1413">
        <v>1.7224300000000002E+35</v>
      </c>
      <c r="C1069" s="1409" t="s">
        <v>2427</v>
      </c>
      <c r="D1069" s="1409">
        <v>328500</v>
      </c>
      <c r="E1069" s="1409" t="s">
        <v>1985</v>
      </c>
      <c r="F1069" s="1409"/>
      <c r="G1069" s="1409">
        <v>328500</v>
      </c>
      <c r="H1069" s="1409" t="s">
        <v>2131</v>
      </c>
      <c r="I1069" s="1409" t="s">
        <v>2475</v>
      </c>
      <c r="J1069" s="1409"/>
    </row>
    <row r="1070" spans="1:10" ht="43.5" thickBot="1">
      <c r="A1070" s="1408">
        <v>97</v>
      </c>
      <c r="B1070" s="1413">
        <v>1.7224300000000002E+35</v>
      </c>
      <c r="C1070" s="1409" t="s">
        <v>2790</v>
      </c>
      <c r="D1070" s="1409">
        <v>22200</v>
      </c>
      <c r="E1070" s="1409" t="s">
        <v>1985</v>
      </c>
      <c r="F1070" s="1409"/>
      <c r="G1070" s="1409">
        <v>22200</v>
      </c>
      <c r="H1070" s="1409" t="s">
        <v>2131</v>
      </c>
      <c r="I1070" s="1409" t="s">
        <v>2008</v>
      </c>
      <c r="J1070" s="1409"/>
    </row>
    <row r="1071" spans="1:10" ht="51.75" thickBot="1">
      <c r="A1071" s="1408">
        <v>98</v>
      </c>
      <c r="B1071" s="1413">
        <v>1.7224300000000002E+35</v>
      </c>
      <c r="C1071" s="1409" t="s">
        <v>2795</v>
      </c>
      <c r="D1071" s="1409">
        <v>470040</v>
      </c>
      <c r="E1071" s="1409" t="s">
        <v>1985</v>
      </c>
      <c r="F1071" s="1409"/>
      <c r="G1071" s="1409" t="s">
        <v>2476</v>
      </c>
      <c r="H1071" s="1409" t="s">
        <v>2281</v>
      </c>
      <c r="I1071" s="1409" t="s">
        <v>2477</v>
      </c>
      <c r="J1071" s="1409"/>
    </row>
    <row r="1072" spans="1:10" ht="43.5" thickBot="1">
      <c r="A1072" s="1408">
        <v>99</v>
      </c>
      <c r="B1072" s="1413">
        <v>1.7224300000000002E+35</v>
      </c>
      <c r="C1072" s="1409" t="s">
        <v>2800</v>
      </c>
      <c r="D1072" s="1409">
        <v>97600</v>
      </c>
      <c r="E1072" s="1409" t="s">
        <v>1985</v>
      </c>
      <c r="F1072" s="1409"/>
      <c r="G1072" s="1409">
        <v>97600</v>
      </c>
      <c r="H1072" s="1409" t="s">
        <v>2131</v>
      </c>
      <c r="I1072" s="1409" t="s">
        <v>2008</v>
      </c>
      <c r="J1072" s="1409"/>
    </row>
    <row r="1073" spans="1:10" ht="60" thickBot="1">
      <c r="A1073" s="1408">
        <v>100</v>
      </c>
      <c r="B1073" s="1413">
        <v>1.7224300000000002E+35</v>
      </c>
      <c r="C1073" s="1409" t="s">
        <v>1445</v>
      </c>
      <c r="D1073" s="1409">
        <v>76604</v>
      </c>
      <c r="E1073" s="1409" t="s">
        <v>1985</v>
      </c>
      <c r="F1073" s="1409"/>
      <c r="G1073" s="1409">
        <v>76604</v>
      </c>
      <c r="H1073" s="1409" t="s">
        <v>2131</v>
      </c>
      <c r="I1073" s="1409" t="s">
        <v>2008</v>
      </c>
      <c r="J1073" s="1409"/>
    </row>
    <row r="1074" spans="1:10" ht="60" thickBot="1">
      <c r="A1074" s="1408">
        <v>101</v>
      </c>
      <c r="B1074" s="1413">
        <v>1.7224300000000002E+35</v>
      </c>
      <c r="C1074" s="1409" t="s">
        <v>2804</v>
      </c>
      <c r="D1074" s="1409" t="s">
        <v>2806</v>
      </c>
      <c r="E1074" s="1409" t="s">
        <v>1985</v>
      </c>
      <c r="F1074" s="1409"/>
      <c r="G1074" s="1409">
        <v>71750.100000000006</v>
      </c>
      <c r="H1074" s="1409" t="s">
        <v>2131</v>
      </c>
      <c r="I1074" s="1409" t="s">
        <v>2008</v>
      </c>
      <c r="J1074" s="1409"/>
    </row>
    <row r="1075" spans="1:10" ht="43.5" thickBot="1">
      <c r="A1075" s="1408">
        <v>102</v>
      </c>
      <c r="B1075" s="1413">
        <v>1.7224300000000002E+35</v>
      </c>
      <c r="C1075" s="1409" t="s">
        <v>2808</v>
      </c>
      <c r="D1075" s="1409">
        <v>30000</v>
      </c>
      <c r="E1075" s="1409" t="s">
        <v>2478</v>
      </c>
      <c r="F1075" s="1409"/>
      <c r="G1075" s="1409">
        <v>30000</v>
      </c>
      <c r="H1075" s="1409" t="s">
        <v>2131</v>
      </c>
      <c r="I1075" s="1409" t="s">
        <v>2008</v>
      </c>
      <c r="J1075" s="1409"/>
    </row>
    <row r="1076" spans="1:10" ht="43.5" thickBot="1">
      <c r="A1076" s="1408">
        <v>103</v>
      </c>
      <c r="B1076" s="1413">
        <v>1.7224300000000002E+35</v>
      </c>
      <c r="C1076" s="1409" t="s">
        <v>2812</v>
      </c>
      <c r="D1076" s="1409">
        <v>18790</v>
      </c>
      <c r="E1076" s="1409" t="s">
        <v>1985</v>
      </c>
      <c r="F1076" s="1409"/>
      <c r="G1076" s="1409">
        <v>18790</v>
      </c>
      <c r="H1076" s="1409" t="s">
        <v>2131</v>
      </c>
      <c r="I1076" s="1409" t="s">
        <v>2008</v>
      </c>
      <c r="J1076" s="1409"/>
    </row>
    <row r="1077" spans="1:10" ht="43.5" thickBot="1">
      <c r="A1077" s="1408">
        <v>104</v>
      </c>
      <c r="B1077" s="1413">
        <v>1.7224300000000002E+35</v>
      </c>
      <c r="C1077" s="1409" t="s">
        <v>2813</v>
      </c>
      <c r="D1077" s="1409">
        <v>352.84</v>
      </c>
      <c r="E1077" s="1409" t="s">
        <v>1985</v>
      </c>
      <c r="F1077" s="1409"/>
      <c r="G1077" s="1409">
        <v>352.84</v>
      </c>
      <c r="H1077" s="1409" t="s">
        <v>2131</v>
      </c>
      <c r="I1077" s="1409" t="s">
        <v>2008</v>
      </c>
      <c r="J1077" s="1409"/>
    </row>
    <row r="1078" spans="1:10" ht="43.5" thickBot="1">
      <c r="A1078" s="1408">
        <v>105</v>
      </c>
      <c r="B1078" s="1413">
        <v>1.7224300000000002E+35</v>
      </c>
      <c r="C1078" s="1409" t="s">
        <v>2816</v>
      </c>
      <c r="D1078" s="1409">
        <v>41.4</v>
      </c>
      <c r="E1078" s="1409" t="s">
        <v>1985</v>
      </c>
      <c r="F1078" s="1409"/>
      <c r="G1078" s="1409" t="s">
        <v>2479</v>
      </c>
      <c r="H1078" s="1409" t="s">
        <v>2131</v>
      </c>
      <c r="I1078" s="1409" t="s">
        <v>2008</v>
      </c>
      <c r="J1078" s="1409"/>
    </row>
    <row r="1079" spans="1:10" ht="43.5" thickBot="1">
      <c r="A1079" s="1408">
        <v>106</v>
      </c>
      <c r="B1079" s="1413">
        <v>1.7224300000000002E+35</v>
      </c>
      <c r="C1079" s="1409" t="s">
        <v>2819</v>
      </c>
      <c r="D1079" s="1409">
        <v>207255</v>
      </c>
      <c r="E1079" s="1409" t="s">
        <v>1985</v>
      </c>
      <c r="F1079" s="1409"/>
      <c r="G1079" s="1409" t="s">
        <v>2480</v>
      </c>
      <c r="H1079" s="1409" t="s">
        <v>2131</v>
      </c>
      <c r="I1079" s="1409" t="s">
        <v>2008</v>
      </c>
      <c r="J1079" s="1409"/>
    </row>
    <row r="1080" spans="1:10" ht="35.25" thickBot="1">
      <c r="A1080" s="1408">
        <v>107</v>
      </c>
      <c r="B1080" s="1413">
        <v>1.7224300000000002E+35</v>
      </c>
      <c r="C1080" s="1409" t="s">
        <v>527</v>
      </c>
      <c r="D1080" s="1409">
        <v>112101</v>
      </c>
      <c r="E1080" s="1409" t="s">
        <v>1985</v>
      </c>
      <c r="F1080" s="1409"/>
      <c r="G1080" s="1409" t="s">
        <v>2481</v>
      </c>
      <c r="H1080" s="1409" t="s">
        <v>2281</v>
      </c>
      <c r="I1080" s="1409" t="s">
        <v>2477</v>
      </c>
      <c r="J1080" s="1409"/>
    </row>
    <row r="1081" spans="1:10" ht="76.5" thickBot="1">
      <c r="A1081" s="1408">
        <v>108</v>
      </c>
      <c r="B1081" s="1413">
        <v>1.7224300000000002E+35</v>
      </c>
      <c r="C1081" s="1409" t="s">
        <v>2843</v>
      </c>
      <c r="D1081" s="1409">
        <v>176884.2</v>
      </c>
      <c r="E1081" s="1409" t="s">
        <v>1985</v>
      </c>
      <c r="F1081" s="1409"/>
      <c r="G1081" s="1409" t="s">
        <v>2482</v>
      </c>
      <c r="H1081" s="1409" t="s">
        <v>2281</v>
      </c>
      <c r="I1081" s="1409" t="s">
        <v>2008</v>
      </c>
      <c r="J1081" s="1409"/>
    </row>
    <row r="1082" spans="1:10" ht="43.5" thickBot="1">
      <c r="A1082" s="1408">
        <v>109</v>
      </c>
      <c r="B1082" s="1413">
        <v>1.7224300000000002E+35</v>
      </c>
      <c r="C1082" s="1409" t="s">
        <v>2849</v>
      </c>
      <c r="D1082" s="1409">
        <v>106269.4</v>
      </c>
      <c r="E1082" s="1409" t="s">
        <v>1985</v>
      </c>
      <c r="F1082" s="1409"/>
      <c r="G1082" s="1409" t="s">
        <v>2483</v>
      </c>
      <c r="H1082" s="1409" t="s">
        <v>2281</v>
      </c>
      <c r="I1082" s="1409" t="s">
        <v>2008</v>
      </c>
      <c r="J1082" s="1409"/>
    </row>
    <row r="1083" spans="1:10" ht="35.25" thickBot="1">
      <c r="A1083" s="1408">
        <v>110</v>
      </c>
      <c r="B1083" s="1413">
        <v>1.7224300000000002E+35</v>
      </c>
      <c r="C1083" s="1409" t="s">
        <v>2855</v>
      </c>
      <c r="D1083" s="1409">
        <v>229383</v>
      </c>
      <c r="E1083" s="1409" t="s">
        <v>1985</v>
      </c>
      <c r="F1083" s="1409"/>
      <c r="G1083" s="1409" t="s">
        <v>2484</v>
      </c>
      <c r="H1083" s="1409" t="s">
        <v>2281</v>
      </c>
      <c r="I1083" s="1409" t="s">
        <v>2008</v>
      </c>
      <c r="J1083" s="1409"/>
    </row>
    <row r="1084" spans="1:10" ht="51.75" thickBot="1">
      <c r="A1084" s="1408">
        <v>111</v>
      </c>
      <c r="B1084" s="1413">
        <v>1.7224300000000002E+35</v>
      </c>
      <c r="C1084" s="1409" t="s">
        <v>2860</v>
      </c>
      <c r="D1084" s="1409">
        <v>780749.6</v>
      </c>
      <c r="E1084" s="1409" t="s">
        <v>1985</v>
      </c>
      <c r="F1084" s="1409"/>
      <c r="G1084" s="1409" t="s">
        <v>2485</v>
      </c>
      <c r="H1084" s="1409" t="s">
        <v>2281</v>
      </c>
      <c r="I1084" s="1409" t="s">
        <v>2008</v>
      </c>
      <c r="J1084" s="1409"/>
    </row>
    <row r="1085" spans="1:10" ht="43.5" thickBot="1">
      <c r="A1085" s="1408">
        <v>112</v>
      </c>
      <c r="B1085" s="1413">
        <v>1.7224300000000002E+35</v>
      </c>
      <c r="C1085" s="1409" t="s">
        <v>2863</v>
      </c>
      <c r="D1085" s="1409">
        <v>159212.4</v>
      </c>
      <c r="E1085" s="1409" t="s">
        <v>1985</v>
      </c>
      <c r="F1085" s="1409"/>
      <c r="G1085" s="1409" t="s">
        <v>2486</v>
      </c>
      <c r="H1085" s="1409" t="s">
        <v>2281</v>
      </c>
      <c r="I1085" s="1409" t="s">
        <v>2008</v>
      </c>
      <c r="J1085" s="1409"/>
    </row>
    <row r="1086" spans="1:10" ht="93" thickBot="1">
      <c r="A1086" s="1408">
        <v>113</v>
      </c>
      <c r="B1086" s="1413">
        <v>1.7224300000000002E+35</v>
      </c>
      <c r="C1086" s="1409" t="s">
        <v>2672</v>
      </c>
      <c r="D1086" s="1409">
        <v>151963.32</v>
      </c>
      <c r="E1086" s="1409" t="s">
        <v>1985</v>
      </c>
      <c r="F1086" s="1409"/>
      <c r="G1086" s="1409" t="s">
        <v>2487</v>
      </c>
      <c r="H1086" s="1409" t="s">
        <v>2281</v>
      </c>
      <c r="I1086" s="1409" t="s">
        <v>2008</v>
      </c>
      <c r="J1086" s="1409"/>
    </row>
    <row r="1087" spans="1:10" ht="84.75" thickBot="1">
      <c r="A1087" s="1408">
        <v>114</v>
      </c>
      <c r="B1087" s="1413">
        <v>1.7224300000000002E+35</v>
      </c>
      <c r="C1087" s="1409" t="s">
        <v>2874</v>
      </c>
      <c r="D1087" s="1409">
        <v>15104</v>
      </c>
      <c r="E1087" s="1409" t="s">
        <v>1985</v>
      </c>
      <c r="F1087" s="1409"/>
      <c r="G1087" s="1409" t="s">
        <v>2488</v>
      </c>
      <c r="H1087" s="1409" t="s">
        <v>2131</v>
      </c>
      <c r="I1087" s="1409" t="s">
        <v>2008</v>
      </c>
      <c r="J1087" s="1409"/>
    </row>
    <row r="1088" spans="1:10" ht="43.5" thickBot="1">
      <c r="A1088" s="1408">
        <v>115</v>
      </c>
      <c r="B1088" s="1413">
        <v>1.7224300000000002E+35</v>
      </c>
      <c r="C1088" s="1409" t="s">
        <v>2877</v>
      </c>
      <c r="D1088" s="1409">
        <v>470962.66</v>
      </c>
      <c r="E1088" s="1409" t="s">
        <v>2471</v>
      </c>
      <c r="F1088" s="1409"/>
      <c r="G1088" s="1409" t="s">
        <v>2489</v>
      </c>
      <c r="H1088" s="1409" t="s">
        <v>2131</v>
      </c>
      <c r="I1088" s="1409" t="s">
        <v>2008</v>
      </c>
      <c r="J1088" s="1409"/>
    </row>
    <row r="1089" spans="1:11" ht="60" thickBot="1">
      <c r="A1089" s="1408">
        <v>116</v>
      </c>
      <c r="B1089" s="1413">
        <v>1.7224300000000002E+35</v>
      </c>
      <c r="C1089" s="1409" t="s">
        <v>2754</v>
      </c>
      <c r="D1089" s="1409">
        <v>31457.62</v>
      </c>
      <c r="E1089" s="1409" t="s">
        <v>2471</v>
      </c>
      <c r="F1089" s="1409"/>
      <c r="G1089" s="1409" t="s">
        <v>2490</v>
      </c>
      <c r="H1089" s="1409" t="s">
        <v>2131</v>
      </c>
      <c r="I1089" s="1409" t="s">
        <v>2008</v>
      </c>
      <c r="J1089" s="1409"/>
      <c r="K1089" s="1391"/>
    </row>
    <row r="1090" spans="1:11" ht="60" thickBot="1">
      <c r="A1090" s="1408">
        <v>117</v>
      </c>
      <c r="B1090" s="1413">
        <v>1.7224300000000002E+35</v>
      </c>
      <c r="C1090" s="1409" t="s">
        <v>2880</v>
      </c>
      <c r="D1090" s="1409">
        <v>128513.76</v>
      </c>
      <c r="E1090" s="1409" t="s">
        <v>2471</v>
      </c>
      <c r="F1090" s="1409"/>
      <c r="G1090" s="1409" t="s">
        <v>2491</v>
      </c>
      <c r="H1090" s="1409" t="s">
        <v>2131</v>
      </c>
      <c r="I1090" s="1409" t="s">
        <v>2492</v>
      </c>
      <c r="J1090" s="1409"/>
      <c r="K1090" s="1391"/>
    </row>
    <row r="1091" spans="1:11" ht="51.75" thickBot="1">
      <c r="A1091" s="1408">
        <v>118</v>
      </c>
      <c r="B1091" s="1413">
        <v>1.7224300000000002E+35</v>
      </c>
      <c r="C1091" s="1409" t="s">
        <v>2882</v>
      </c>
      <c r="D1091" s="1409">
        <v>6225.55</v>
      </c>
      <c r="E1091" s="1409" t="s">
        <v>1985</v>
      </c>
      <c r="F1091" s="1409"/>
      <c r="G1091" s="1409" t="s">
        <v>2493</v>
      </c>
      <c r="H1091" s="1409" t="s">
        <v>2281</v>
      </c>
      <c r="I1091" s="1409" t="s">
        <v>2008</v>
      </c>
      <c r="J1091" s="1409"/>
      <c r="K1091" s="1391"/>
    </row>
    <row r="1092" spans="1:11" ht="51.75" thickBot="1">
      <c r="A1092" s="1408">
        <v>119</v>
      </c>
      <c r="B1092" s="1413">
        <v>1.7224300000000002E+35</v>
      </c>
      <c r="C1092" s="1409" t="s">
        <v>2882</v>
      </c>
      <c r="D1092" s="1409">
        <v>63599.35</v>
      </c>
      <c r="E1092" s="1409" t="s">
        <v>1985</v>
      </c>
      <c r="F1092" s="1409"/>
      <c r="G1092" s="1409" t="s">
        <v>2494</v>
      </c>
      <c r="H1092" s="1409" t="s">
        <v>2281</v>
      </c>
      <c r="I1092" s="1409" t="s">
        <v>2008</v>
      </c>
      <c r="J1092" s="1409"/>
      <c r="K1092" s="1391"/>
    </row>
    <row r="1093" spans="1:11" ht="35.25" thickBot="1">
      <c r="A1093" s="1408">
        <v>120</v>
      </c>
      <c r="B1093" s="1413">
        <v>1.7224300000000002E+35</v>
      </c>
      <c r="C1093" s="1409" t="s">
        <v>2896</v>
      </c>
      <c r="D1093" s="1409">
        <v>87489.600000000006</v>
      </c>
      <c r="E1093" s="1409" t="s">
        <v>1985</v>
      </c>
      <c r="F1093" s="1409"/>
      <c r="G1093" s="1409" t="s">
        <v>2495</v>
      </c>
      <c r="H1093" s="1409" t="s">
        <v>2281</v>
      </c>
      <c r="I1093" s="1409" t="s">
        <v>2008</v>
      </c>
      <c r="J1093" s="1409"/>
      <c r="K1093" s="1391"/>
    </row>
    <row r="1094" spans="1:11" ht="43.5" thickBot="1">
      <c r="A1094" s="1408">
        <v>121</v>
      </c>
      <c r="B1094" s="1413">
        <v>1.7224300000000002E+35</v>
      </c>
      <c r="C1094" s="1409" t="s">
        <v>2901</v>
      </c>
      <c r="D1094" s="1409">
        <v>119906.04</v>
      </c>
      <c r="E1094" s="1409" t="s">
        <v>1985</v>
      </c>
      <c r="F1094" s="1409"/>
      <c r="G1094" s="1409" t="s">
        <v>2496</v>
      </c>
      <c r="H1094" s="1409" t="s">
        <v>2281</v>
      </c>
      <c r="I1094" s="1409" t="s">
        <v>2008</v>
      </c>
      <c r="J1094" s="1409"/>
      <c r="K1094" s="1391"/>
    </row>
    <row r="1095" spans="1:11" ht="51.75" thickBot="1">
      <c r="A1095" s="1408">
        <v>122</v>
      </c>
      <c r="B1095" s="1413">
        <v>1.7224300000000002E+35</v>
      </c>
      <c r="C1095" s="1409" t="s">
        <v>2908</v>
      </c>
      <c r="D1095" s="1409">
        <v>123319.22</v>
      </c>
      <c r="E1095" s="1409" t="s">
        <v>1985</v>
      </c>
      <c r="F1095" s="1409"/>
      <c r="G1095" s="1409" t="s">
        <v>2497</v>
      </c>
      <c r="H1095" s="1409" t="s">
        <v>2281</v>
      </c>
      <c r="I1095" s="1409" t="s">
        <v>2008</v>
      </c>
      <c r="J1095" s="1409"/>
      <c r="K1095" s="1391"/>
    </row>
    <row r="1097" spans="1:11" ht="52.5" thickBot="1">
      <c r="A1097" s="1395" t="s">
        <v>2498</v>
      </c>
      <c r="B1097" s="1392"/>
      <c r="C1097" s="1405"/>
      <c r="D1097" s="1392"/>
      <c r="E1097" s="1395" t="s">
        <v>1972</v>
      </c>
      <c r="F1097" s="1392"/>
      <c r="G1097" s="1395">
        <v>12</v>
      </c>
      <c r="H1097" s="1392"/>
      <c r="I1097" s="1396">
        <v>20</v>
      </c>
      <c r="J1097" s="1395">
        <v>17</v>
      </c>
      <c r="K1097" s="1392" t="s">
        <v>2071</v>
      </c>
    </row>
    <row r="1098" spans="1:11" ht="153.75">
      <c r="A1098" s="1393" t="s">
        <v>2499</v>
      </c>
      <c r="B1098" s="1392"/>
      <c r="C1098" s="1393" t="s">
        <v>1846</v>
      </c>
      <c r="D1098" s="1392"/>
      <c r="E1098" s="1392"/>
      <c r="F1098" s="1392"/>
      <c r="G1098" s="1393" t="s">
        <v>2500</v>
      </c>
      <c r="H1098" s="1392"/>
      <c r="I1098" s="1392"/>
      <c r="J1098" s="1391"/>
      <c r="K1098" s="1391"/>
    </row>
    <row r="1099" spans="1:11">
      <c r="A1099" s="1392"/>
      <c r="B1099" s="1391"/>
      <c r="C1099" s="1391"/>
      <c r="D1099" s="1391"/>
      <c r="E1099" s="1391"/>
      <c r="F1099" s="1391"/>
      <c r="G1099" s="1391"/>
      <c r="H1099" s="1391"/>
      <c r="I1099" s="1391"/>
      <c r="J1099" s="1391"/>
      <c r="K1099" s="1391"/>
    </row>
    <row r="1100" spans="1:11">
      <c r="A1100" s="1392"/>
      <c r="B1100" s="1391"/>
      <c r="C1100" s="1391"/>
      <c r="D1100" s="1391"/>
      <c r="E1100" s="1391"/>
      <c r="F1100" s="1391"/>
      <c r="G1100" s="1391"/>
      <c r="H1100" s="1391"/>
      <c r="I1100" s="1391"/>
      <c r="J1100" s="1391"/>
      <c r="K1100" s="1391"/>
    </row>
    <row r="1101" spans="1:11" ht="52.5" thickBot="1">
      <c r="A1101" s="1395" t="s">
        <v>2501</v>
      </c>
      <c r="B1101" s="1392"/>
      <c r="C1101" s="1405"/>
      <c r="D1101" s="1393" t="s">
        <v>2502</v>
      </c>
      <c r="E1101" s="1391"/>
      <c r="F1101" s="1391"/>
      <c r="G1101" s="1391"/>
      <c r="H1101" s="1391"/>
      <c r="I1101" s="1391"/>
      <c r="J1101" s="1391"/>
      <c r="K1101" s="1391"/>
    </row>
    <row r="1102" spans="1:11" ht="64.5">
      <c r="A1102" s="1393" t="s">
        <v>2503</v>
      </c>
      <c r="B1102" s="1392"/>
      <c r="C1102" s="1393" t="s">
        <v>1846</v>
      </c>
      <c r="D1102" s="1392"/>
      <c r="E1102" s="1392"/>
      <c r="F1102" s="1391"/>
      <c r="G1102" s="1391"/>
      <c r="H1102" s="1391"/>
      <c r="I1102" s="1391"/>
      <c r="J1102" s="1391"/>
      <c r="K1102" s="1391"/>
    </row>
  </sheetData>
  <autoFilter ref="A39:AG958">
    <filterColumn colId="22">
      <filters>
        <filter val="4,2019"/>
        <filter val="6,2018"/>
        <filter val="7,2018"/>
        <filter val="8,2018"/>
      </filters>
    </filterColumn>
    <filterColumn colId="23">
      <filters>
        <filter val="Электронный аукцион"/>
      </filters>
    </filterColumn>
    <filterColumn colId="30">
      <filters blank="1"/>
    </filterColumn>
  </autoFilter>
  <mergeCells count="10336">
    <mergeCell ref="G37:G38"/>
    <mergeCell ref="H37:H38"/>
    <mergeCell ref="AB36:AB38"/>
    <mergeCell ref="AE36:AE38"/>
    <mergeCell ref="AF36:AF38"/>
    <mergeCell ref="AG36:AG38"/>
    <mergeCell ref="AC36:AC38"/>
    <mergeCell ref="AD36:AD38"/>
    <mergeCell ref="I37:J37"/>
    <mergeCell ref="V36:W36"/>
    <mergeCell ref="X36:X38"/>
    <mergeCell ref="M37:M38"/>
    <mergeCell ref="N37:N38"/>
    <mergeCell ref="U37:U38"/>
    <mergeCell ref="V37:V38"/>
    <mergeCell ref="W37:W38"/>
    <mergeCell ref="Y36:Y38"/>
    <mergeCell ref="Z36:Z38"/>
    <mergeCell ref="C36:D36"/>
    <mergeCell ref="E36:E38"/>
    <mergeCell ref="F36:F38"/>
    <mergeCell ref="G36:K36"/>
    <mergeCell ref="L36:M36"/>
    <mergeCell ref="N36:R36"/>
    <mergeCell ref="S36:S38"/>
    <mergeCell ref="T36:U36"/>
    <mergeCell ref="J1:J2"/>
    <mergeCell ref="B2:F2"/>
    <mergeCell ref="D27:D28"/>
    <mergeCell ref="E27:E28"/>
    <mergeCell ref="A29:A30"/>
    <mergeCell ref="B29:B30"/>
    <mergeCell ref="A9:A15"/>
    <mergeCell ref="C20:C34"/>
    <mergeCell ref="A22:A24"/>
    <mergeCell ref="B22:B24"/>
    <mergeCell ref="R37:R38"/>
    <mergeCell ref="T37:T38"/>
    <mergeCell ref="K37:K38"/>
    <mergeCell ref="L37:L38"/>
    <mergeCell ref="E32:F32"/>
    <mergeCell ref="A1:A8"/>
    <mergeCell ref="B1:F1"/>
    <mergeCell ref="G1:G2"/>
    <mergeCell ref="H1:H2"/>
    <mergeCell ref="I1:I2"/>
    <mergeCell ref="A40:A42"/>
    <mergeCell ref="B40:B42"/>
    <mergeCell ref="C40:C42"/>
    <mergeCell ref="D40:D41"/>
    <mergeCell ref="A36:A38"/>
    <mergeCell ref="B36:B38"/>
    <mergeCell ref="C37:C38"/>
    <mergeCell ref="D37:D38"/>
    <mergeCell ref="E40:E41"/>
    <mergeCell ref="O37:O38"/>
    <mergeCell ref="P37:Q37"/>
    <mergeCell ref="AA36:AA38"/>
    <mergeCell ref="P40:P41"/>
    <mergeCell ref="Q40:Q41"/>
    <mergeCell ref="R40:R41"/>
    <mergeCell ref="T40:T41"/>
    <mergeCell ref="U40:U41"/>
    <mergeCell ref="V40:V41"/>
    <mergeCell ref="N43:N44"/>
    <mergeCell ref="E43:E44"/>
    <mergeCell ref="A46:A48"/>
    <mergeCell ref="B46:B48"/>
    <mergeCell ref="C46:C48"/>
    <mergeCell ref="D46:D47"/>
    <mergeCell ref="T43:T44"/>
    <mergeCell ref="U43:U44"/>
    <mergeCell ref="E46:E47"/>
    <mergeCell ref="V43:V44"/>
    <mergeCell ref="W43:W44"/>
    <mergeCell ref="I43:I44"/>
    <mergeCell ref="J43:J44"/>
    <mergeCell ref="K43:K44"/>
    <mergeCell ref="L43:L44"/>
    <mergeCell ref="M43:M44"/>
    <mergeCell ref="AC40:AC41"/>
    <mergeCell ref="AD40:AD41"/>
    <mergeCell ref="Z43:Z44"/>
    <mergeCell ref="AA43:AA44"/>
    <mergeCell ref="O43:O44"/>
    <mergeCell ref="P43:P44"/>
    <mergeCell ref="Q43:Q44"/>
    <mergeCell ref="R43:R44"/>
    <mergeCell ref="X43:X44"/>
    <mergeCell ref="Y43:Y44"/>
    <mergeCell ref="A43:A45"/>
    <mergeCell ref="B43:B45"/>
    <mergeCell ref="C43:C45"/>
    <mergeCell ref="D43:D44"/>
    <mergeCell ref="AF40:AF41"/>
    <mergeCell ref="AG40:AG41"/>
    <mergeCell ref="Y40:Y41"/>
    <mergeCell ref="Z40:Z41"/>
    <mergeCell ref="AA40:AA41"/>
    <mergeCell ref="AB40:AB41"/>
    <mergeCell ref="F40:F41"/>
    <mergeCell ref="G40:G41"/>
    <mergeCell ref="H40:H41"/>
    <mergeCell ref="I40:I41"/>
    <mergeCell ref="F43:F44"/>
    <mergeCell ref="G43:G44"/>
    <mergeCell ref="H43:H44"/>
    <mergeCell ref="W40:W41"/>
    <mergeCell ref="X40:X41"/>
    <mergeCell ref="L40:L41"/>
    <mergeCell ref="M40:M41"/>
    <mergeCell ref="N40:N41"/>
    <mergeCell ref="O40:O41"/>
    <mergeCell ref="AF46:AF47"/>
    <mergeCell ref="AG46:AG47"/>
    <mergeCell ref="AC46:AC47"/>
    <mergeCell ref="AD46:AD47"/>
    <mergeCell ref="J40:J41"/>
    <mergeCell ref="K40:K41"/>
    <mergeCell ref="Y46:Y47"/>
    <mergeCell ref="Z46:Z47"/>
    <mergeCell ref="N46:N47"/>
    <mergeCell ref="O46:O47"/>
    <mergeCell ref="W46:W47"/>
    <mergeCell ref="X46:X47"/>
    <mergeCell ref="P46:P47"/>
    <mergeCell ref="Q46:Q47"/>
    <mergeCell ref="AA46:AA47"/>
    <mergeCell ref="AB46:AB47"/>
    <mergeCell ref="R46:R47"/>
    <mergeCell ref="T46:T47"/>
    <mergeCell ref="U46:U47"/>
    <mergeCell ref="V46:V47"/>
    <mergeCell ref="J46:J47"/>
    <mergeCell ref="K46:K47"/>
    <mergeCell ref="L46:L47"/>
    <mergeCell ref="M46:M47"/>
    <mergeCell ref="F46:F47"/>
    <mergeCell ref="G46:G47"/>
    <mergeCell ref="H46:H47"/>
    <mergeCell ref="I46:I47"/>
    <mergeCell ref="AG43:AG44"/>
    <mergeCell ref="AB49:AB50"/>
    <mergeCell ref="AC49:AC50"/>
    <mergeCell ref="AD49:AD50"/>
    <mergeCell ref="AF49:AF50"/>
    <mergeCell ref="AG49:AG50"/>
    <mergeCell ref="AB43:AB44"/>
    <mergeCell ref="AC43:AC44"/>
    <mergeCell ref="AD43:AD44"/>
    <mergeCell ref="AF43:AF44"/>
    <mergeCell ref="AC58:AC59"/>
    <mergeCell ref="N49:N50"/>
    <mergeCell ref="AE58:AE59"/>
    <mergeCell ref="U49:U50"/>
    <mergeCell ref="P52:P53"/>
    <mergeCell ref="W58:W59"/>
    <mergeCell ref="X58:X59"/>
    <mergeCell ref="Y58:Y59"/>
    <mergeCell ref="A52:A54"/>
    <mergeCell ref="B52:B54"/>
    <mergeCell ref="C52:C54"/>
    <mergeCell ref="D52:D53"/>
    <mergeCell ref="AE52:AE53"/>
    <mergeCell ref="AF52:AF53"/>
    <mergeCell ref="J52:J53"/>
    <mergeCell ref="K52:K53"/>
    <mergeCell ref="AD58:AD59"/>
    <mergeCell ref="F52:F53"/>
    <mergeCell ref="R55:R56"/>
    <mergeCell ref="T55:T56"/>
    <mergeCell ref="H55:H56"/>
    <mergeCell ref="I55:I56"/>
    <mergeCell ref="J55:J56"/>
    <mergeCell ref="K55:K56"/>
    <mergeCell ref="E52:E53"/>
    <mergeCell ref="V49:V50"/>
    <mergeCell ref="W49:W50"/>
    <mergeCell ref="X49:X50"/>
    <mergeCell ref="I49:I50"/>
    <mergeCell ref="J49:J50"/>
    <mergeCell ref="K49:K50"/>
    <mergeCell ref="L49:L50"/>
    <mergeCell ref="M49:M50"/>
    <mergeCell ref="G49:G50"/>
    <mergeCell ref="Z49:Z50"/>
    <mergeCell ref="AA49:AA50"/>
    <mergeCell ref="O49:O50"/>
    <mergeCell ref="P49:P50"/>
    <mergeCell ref="Q49:Q50"/>
    <mergeCell ref="R49:R50"/>
    <mergeCell ref="T49:T50"/>
    <mergeCell ref="A49:A51"/>
    <mergeCell ref="B49:B51"/>
    <mergeCell ref="C49:C51"/>
    <mergeCell ref="D49:D50"/>
    <mergeCell ref="H49:H50"/>
    <mergeCell ref="Y49:Y50"/>
    <mergeCell ref="E49:E50"/>
    <mergeCell ref="F49:F50"/>
    <mergeCell ref="Y52:Y53"/>
    <mergeCell ref="Z52:Z53"/>
    <mergeCell ref="G52:G53"/>
    <mergeCell ref="H52:H53"/>
    <mergeCell ref="I52:I53"/>
    <mergeCell ref="M52:M53"/>
    <mergeCell ref="N52:N53"/>
    <mergeCell ref="O52:O53"/>
    <mergeCell ref="L55:L56"/>
    <mergeCell ref="AB52:AB53"/>
    <mergeCell ref="AC52:AC53"/>
    <mergeCell ref="AD52:AD53"/>
    <mergeCell ref="U52:U53"/>
    <mergeCell ref="V52:V53"/>
    <mergeCell ref="AA52:AA53"/>
    <mergeCell ref="W52:W53"/>
    <mergeCell ref="X52:X53"/>
    <mergeCell ref="L52:L53"/>
    <mergeCell ref="AG52:AG53"/>
    <mergeCell ref="A55:A57"/>
    <mergeCell ref="B55:B57"/>
    <mergeCell ref="C55:C57"/>
    <mergeCell ref="D55:D56"/>
    <mergeCell ref="E55:E56"/>
    <mergeCell ref="F55:F56"/>
    <mergeCell ref="Q52:Q53"/>
    <mergeCell ref="R52:R53"/>
    <mergeCell ref="T52:T53"/>
    <mergeCell ref="N58:N59"/>
    <mergeCell ref="O58:O59"/>
    <mergeCell ref="Z58:Z59"/>
    <mergeCell ref="AA58:AA59"/>
    <mergeCell ref="J58:J59"/>
    <mergeCell ref="K58:K59"/>
    <mergeCell ref="L58:L59"/>
    <mergeCell ref="M58:M59"/>
    <mergeCell ref="G58:G59"/>
    <mergeCell ref="H58:H59"/>
    <mergeCell ref="I58:I59"/>
    <mergeCell ref="AB58:AB59"/>
    <mergeCell ref="P58:P59"/>
    <mergeCell ref="Q58:Q59"/>
    <mergeCell ref="R58:R59"/>
    <mergeCell ref="T58:T59"/>
    <mergeCell ref="U58:U59"/>
    <mergeCell ref="V58:V59"/>
    <mergeCell ref="AA55:AA56"/>
    <mergeCell ref="AB55:AB56"/>
    <mergeCell ref="AC55:AC56"/>
    <mergeCell ref="AG55:AG56"/>
    <mergeCell ref="A58:A60"/>
    <mergeCell ref="B58:B60"/>
    <mergeCell ref="C58:C60"/>
    <mergeCell ref="D58:D59"/>
    <mergeCell ref="E58:E59"/>
    <mergeCell ref="F58:F59"/>
    <mergeCell ref="U55:U56"/>
    <mergeCell ref="V55:V56"/>
    <mergeCell ref="W55:W56"/>
    <mergeCell ref="X55:X56"/>
    <mergeCell ref="Y55:Y56"/>
    <mergeCell ref="Z55:Z56"/>
    <mergeCell ref="AG61:AG62"/>
    <mergeCell ref="Q55:Q56"/>
    <mergeCell ref="AE55:AE56"/>
    <mergeCell ref="AD55:AD56"/>
    <mergeCell ref="G55:G56"/>
    <mergeCell ref="M55:M56"/>
    <mergeCell ref="N55:N56"/>
    <mergeCell ref="O55:O56"/>
    <mergeCell ref="P55:P56"/>
    <mergeCell ref="AF55:AF56"/>
    <mergeCell ref="A64:A66"/>
    <mergeCell ref="B64:B66"/>
    <mergeCell ref="C64:C66"/>
    <mergeCell ref="D64:D65"/>
    <mergeCell ref="AF58:AF59"/>
    <mergeCell ref="AG58:AG59"/>
    <mergeCell ref="AA61:AA62"/>
    <mergeCell ref="AB61:AB62"/>
    <mergeCell ref="AE61:AE62"/>
    <mergeCell ref="AF61:AF62"/>
    <mergeCell ref="E64:E65"/>
    <mergeCell ref="AC61:AC62"/>
    <mergeCell ref="AD61:AD62"/>
    <mergeCell ref="R61:R62"/>
    <mergeCell ref="T61:T62"/>
    <mergeCell ref="U61:U62"/>
    <mergeCell ref="V61:V62"/>
    <mergeCell ref="W61:W62"/>
    <mergeCell ref="X61:X62"/>
    <mergeCell ref="Y61:Y62"/>
    <mergeCell ref="Z61:Z62"/>
    <mergeCell ref="J61:J62"/>
    <mergeCell ref="K61:K62"/>
    <mergeCell ref="L61:L62"/>
    <mergeCell ref="M61:M62"/>
    <mergeCell ref="N61:N62"/>
    <mergeCell ref="O61:O62"/>
    <mergeCell ref="P61:P62"/>
    <mergeCell ref="Q61:Q62"/>
    <mergeCell ref="F61:F62"/>
    <mergeCell ref="G61:G62"/>
    <mergeCell ref="H61:H62"/>
    <mergeCell ref="I61:I62"/>
    <mergeCell ref="A61:A63"/>
    <mergeCell ref="B61:B63"/>
    <mergeCell ref="C61:C63"/>
    <mergeCell ref="D61:D62"/>
    <mergeCell ref="E61:E62"/>
    <mergeCell ref="K67:K68"/>
    <mergeCell ref="L67:L68"/>
    <mergeCell ref="A67:A69"/>
    <mergeCell ref="B67:B69"/>
    <mergeCell ref="C67:C69"/>
    <mergeCell ref="D67:D68"/>
    <mergeCell ref="E67:E68"/>
    <mergeCell ref="F67:F68"/>
    <mergeCell ref="G67:G68"/>
    <mergeCell ref="AA64:AA65"/>
    <mergeCell ref="T67:T68"/>
    <mergeCell ref="U67:U68"/>
    <mergeCell ref="V67:V68"/>
    <mergeCell ref="W67:W68"/>
    <mergeCell ref="I67:I68"/>
    <mergeCell ref="J67:J68"/>
    <mergeCell ref="N64:N65"/>
    <mergeCell ref="O64:O65"/>
    <mergeCell ref="P64:P65"/>
    <mergeCell ref="Q64:Q65"/>
    <mergeCell ref="H67:H68"/>
    <mergeCell ref="Y64:Y65"/>
    <mergeCell ref="AF64:AF65"/>
    <mergeCell ref="AG64:AG65"/>
    <mergeCell ref="U64:U65"/>
    <mergeCell ref="V64:V65"/>
    <mergeCell ref="W64:W65"/>
    <mergeCell ref="X64:X65"/>
    <mergeCell ref="AB64:AB65"/>
    <mergeCell ref="AC64:AC65"/>
    <mergeCell ref="AD64:AD65"/>
    <mergeCell ref="Z64:Z65"/>
    <mergeCell ref="F64:F65"/>
    <mergeCell ref="G64:G65"/>
    <mergeCell ref="R64:R65"/>
    <mergeCell ref="T64:T65"/>
    <mergeCell ref="H64:H65"/>
    <mergeCell ref="I64:I65"/>
    <mergeCell ref="J64:J65"/>
    <mergeCell ref="K64:K65"/>
    <mergeCell ref="L64:L65"/>
    <mergeCell ref="M64:M65"/>
    <mergeCell ref="O70:O71"/>
    <mergeCell ref="P70:P71"/>
    <mergeCell ref="F73:F74"/>
    <mergeCell ref="G73:G74"/>
    <mergeCell ref="H73:H74"/>
    <mergeCell ref="I73:I74"/>
    <mergeCell ref="G70:G71"/>
    <mergeCell ref="H70:H71"/>
    <mergeCell ref="V70:V71"/>
    <mergeCell ref="W70:W71"/>
    <mergeCell ref="J73:J74"/>
    <mergeCell ref="K73:K74"/>
    <mergeCell ref="T70:T71"/>
    <mergeCell ref="U70:U71"/>
    <mergeCell ref="Q70:Q71"/>
    <mergeCell ref="R70:R71"/>
    <mergeCell ref="U73:U74"/>
    <mergeCell ref="V73:V74"/>
    <mergeCell ref="AB70:AB71"/>
    <mergeCell ref="AC70:AC71"/>
    <mergeCell ref="X70:X71"/>
    <mergeCell ref="Y70:Y71"/>
    <mergeCell ref="Z70:Z71"/>
    <mergeCell ref="AA70:AA71"/>
    <mergeCell ref="AD70:AD71"/>
    <mergeCell ref="AF70:AF71"/>
    <mergeCell ref="AG70:AG71"/>
    <mergeCell ref="A73:A75"/>
    <mergeCell ref="B73:B75"/>
    <mergeCell ref="C73:C75"/>
    <mergeCell ref="D73:D74"/>
    <mergeCell ref="E73:E74"/>
    <mergeCell ref="A70:A72"/>
    <mergeCell ref="B70:B72"/>
    <mergeCell ref="AF67:AF68"/>
    <mergeCell ref="AG67:AG68"/>
    <mergeCell ref="Z67:Z68"/>
    <mergeCell ref="AA67:AA68"/>
    <mergeCell ref="AB67:AB68"/>
    <mergeCell ref="AC67:AC68"/>
    <mergeCell ref="AD67:AD68"/>
    <mergeCell ref="AE67:AE68"/>
    <mergeCell ref="C70:C72"/>
    <mergeCell ref="D70:D71"/>
    <mergeCell ref="M70:M71"/>
    <mergeCell ref="N70:N71"/>
    <mergeCell ref="I70:I71"/>
    <mergeCell ref="J70:J71"/>
    <mergeCell ref="K70:K71"/>
    <mergeCell ref="L70:L71"/>
    <mergeCell ref="E70:E71"/>
    <mergeCell ref="F70:F71"/>
    <mergeCell ref="X67:X68"/>
    <mergeCell ref="Y67:Y68"/>
    <mergeCell ref="M67:M68"/>
    <mergeCell ref="N67:N68"/>
    <mergeCell ref="O67:O68"/>
    <mergeCell ref="P67:P68"/>
    <mergeCell ref="Q67:Q68"/>
    <mergeCell ref="R67:R68"/>
    <mergeCell ref="AG73:AG74"/>
    <mergeCell ref="Y73:Y74"/>
    <mergeCell ref="Z73:Z74"/>
    <mergeCell ref="AA73:AA74"/>
    <mergeCell ref="AB73:AB74"/>
    <mergeCell ref="AC73:AC74"/>
    <mergeCell ref="AD73:AD74"/>
    <mergeCell ref="L76:L77"/>
    <mergeCell ref="A76:A78"/>
    <mergeCell ref="B76:B78"/>
    <mergeCell ref="C76:C78"/>
    <mergeCell ref="D76:D77"/>
    <mergeCell ref="AF73:AF74"/>
    <mergeCell ref="T73:T74"/>
    <mergeCell ref="E76:E77"/>
    <mergeCell ref="F76:F77"/>
    <mergeCell ref="G76:G77"/>
    <mergeCell ref="H76:H77"/>
    <mergeCell ref="M76:M77"/>
    <mergeCell ref="N76:N77"/>
    <mergeCell ref="I76:I77"/>
    <mergeCell ref="J76:J77"/>
    <mergeCell ref="K76:K77"/>
    <mergeCell ref="AG79:AG80"/>
    <mergeCell ref="W73:W74"/>
    <mergeCell ref="X73:X74"/>
    <mergeCell ref="L73:L74"/>
    <mergeCell ref="M73:M74"/>
    <mergeCell ref="N73:N74"/>
    <mergeCell ref="O73:O74"/>
    <mergeCell ref="P73:P74"/>
    <mergeCell ref="Q73:Q74"/>
    <mergeCell ref="R73:R74"/>
    <mergeCell ref="A82:A84"/>
    <mergeCell ref="B82:B84"/>
    <mergeCell ref="C82:C84"/>
    <mergeCell ref="D82:D83"/>
    <mergeCell ref="AA79:AA80"/>
    <mergeCell ref="AB79:AB80"/>
    <mergeCell ref="L79:L80"/>
    <mergeCell ref="M79:M80"/>
    <mergeCell ref="F79:F80"/>
    <mergeCell ref="G79:G80"/>
    <mergeCell ref="H79:H80"/>
    <mergeCell ref="I79:I80"/>
    <mergeCell ref="J79:J80"/>
    <mergeCell ref="K79:K80"/>
    <mergeCell ref="N79:N80"/>
    <mergeCell ref="O79:O80"/>
    <mergeCell ref="AC79:AC80"/>
    <mergeCell ref="AD79:AD80"/>
    <mergeCell ref="R79:R80"/>
    <mergeCell ref="T79:T80"/>
    <mergeCell ref="U79:U80"/>
    <mergeCell ref="V79:V80"/>
    <mergeCell ref="P79:P80"/>
    <mergeCell ref="Q79:Q80"/>
    <mergeCell ref="W79:W80"/>
    <mergeCell ref="X79:X80"/>
    <mergeCell ref="Y79:Y80"/>
    <mergeCell ref="Z79:Z80"/>
    <mergeCell ref="AB76:AB77"/>
    <mergeCell ref="AC76:AC77"/>
    <mergeCell ref="AG76:AG77"/>
    <mergeCell ref="A79:A81"/>
    <mergeCell ref="B79:B81"/>
    <mergeCell ref="C79:C81"/>
    <mergeCell ref="D79:D80"/>
    <mergeCell ref="E79:E80"/>
    <mergeCell ref="V76:V77"/>
    <mergeCell ref="W76:W77"/>
    <mergeCell ref="X76:X77"/>
    <mergeCell ref="Y76:Y77"/>
    <mergeCell ref="O76:O77"/>
    <mergeCell ref="P76:P77"/>
    <mergeCell ref="Q76:Q77"/>
    <mergeCell ref="R76:R77"/>
    <mergeCell ref="T76:T77"/>
    <mergeCell ref="U76:U77"/>
    <mergeCell ref="AB82:AB83"/>
    <mergeCell ref="AC82:AC83"/>
    <mergeCell ref="AD82:AD83"/>
    <mergeCell ref="AF82:AF83"/>
    <mergeCell ref="Z76:Z77"/>
    <mergeCell ref="AA76:AA77"/>
    <mergeCell ref="AD76:AD77"/>
    <mergeCell ref="AF76:AF77"/>
    <mergeCell ref="AF79:AF80"/>
    <mergeCell ref="AG82:AG83"/>
    <mergeCell ref="AE85:AE86"/>
    <mergeCell ref="AF85:AF86"/>
    <mergeCell ref="AC91:AC92"/>
    <mergeCell ref="AE91:AE92"/>
    <mergeCell ref="AD91:AD92"/>
    <mergeCell ref="AG85:AG86"/>
    <mergeCell ref="AG88:AG89"/>
    <mergeCell ref="AC88:AC89"/>
    <mergeCell ref="AF91:AF92"/>
    <mergeCell ref="A85:A87"/>
    <mergeCell ref="B85:B87"/>
    <mergeCell ref="C85:C87"/>
    <mergeCell ref="D85:D86"/>
    <mergeCell ref="J85:J86"/>
    <mergeCell ref="K85:K86"/>
    <mergeCell ref="F85:F86"/>
    <mergeCell ref="E85:E86"/>
    <mergeCell ref="V82:V83"/>
    <mergeCell ref="W82:W83"/>
    <mergeCell ref="G82:G83"/>
    <mergeCell ref="H82:H83"/>
    <mergeCell ref="O85:O86"/>
    <mergeCell ref="P85:P86"/>
    <mergeCell ref="N82:N83"/>
    <mergeCell ref="E82:E83"/>
    <mergeCell ref="F82:F83"/>
    <mergeCell ref="I82:I83"/>
    <mergeCell ref="J82:J83"/>
    <mergeCell ref="K82:K83"/>
    <mergeCell ref="L82:L83"/>
    <mergeCell ref="M82:M83"/>
    <mergeCell ref="U82:U83"/>
    <mergeCell ref="Y82:Y83"/>
    <mergeCell ref="Z82:Z83"/>
    <mergeCell ref="AA82:AA83"/>
    <mergeCell ref="O82:O83"/>
    <mergeCell ref="P82:P83"/>
    <mergeCell ref="Q82:Q83"/>
    <mergeCell ref="R82:R83"/>
    <mergeCell ref="T82:T83"/>
    <mergeCell ref="X82:X83"/>
    <mergeCell ref="AC85:AC86"/>
    <mergeCell ref="AD85:AD86"/>
    <mergeCell ref="T85:T86"/>
    <mergeCell ref="U85:U86"/>
    <mergeCell ref="V85:V86"/>
    <mergeCell ref="AA85:AA86"/>
    <mergeCell ref="W85:W86"/>
    <mergeCell ref="X85:X86"/>
    <mergeCell ref="Y85:Y86"/>
    <mergeCell ref="Z85:Z86"/>
    <mergeCell ref="A88:A90"/>
    <mergeCell ref="B88:B90"/>
    <mergeCell ref="C88:C90"/>
    <mergeCell ref="D88:D89"/>
    <mergeCell ref="L88:L89"/>
    <mergeCell ref="AB85:AB86"/>
    <mergeCell ref="H88:H89"/>
    <mergeCell ref="I88:I89"/>
    <mergeCell ref="J88:J89"/>
    <mergeCell ref="K88:K89"/>
    <mergeCell ref="E88:E89"/>
    <mergeCell ref="F88:F89"/>
    <mergeCell ref="Q85:Q86"/>
    <mergeCell ref="R85:R86"/>
    <mergeCell ref="G85:G86"/>
    <mergeCell ref="H85:H86"/>
    <mergeCell ref="I85:I86"/>
    <mergeCell ref="L85:L86"/>
    <mergeCell ref="M85:M86"/>
    <mergeCell ref="N85:N86"/>
    <mergeCell ref="X91:X92"/>
    <mergeCell ref="Y91:Y92"/>
    <mergeCell ref="J91:J92"/>
    <mergeCell ref="K91:K92"/>
    <mergeCell ref="L91:L92"/>
    <mergeCell ref="M91:M92"/>
    <mergeCell ref="N91:N92"/>
    <mergeCell ref="O91:O92"/>
    <mergeCell ref="Z91:Z92"/>
    <mergeCell ref="AA91:AA92"/>
    <mergeCell ref="AB91:AB92"/>
    <mergeCell ref="P91:P92"/>
    <mergeCell ref="Q91:Q92"/>
    <mergeCell ref="R91:R92"/>
    <mergeCell ref="T91:T92"/>
    <mergeCell ref="U91:U92"/>
    <mergeCell ref="V91:V92"/>
    <mergeCell ref="W91:W92"/>
    <mergeCell ref="E91:E92"/>
    <mergeCell ref="F91:F92"/>
    <mergeCell ref="G91:G92"/>
    <mergeCell ref="H91:H92"/>
    <mergeCell ref="A91:A93"/>
    <mergeCell ref="B91:B93"/>
    <mergeCell ref="C91:C93"/>
    <mergeCell ref="D91:D92"/>
    <mergeCell ref="I91:I92"/>
    <mergeCell ref="AF88:AF89"/>
    <mergeCell ref="U88:U89"/>
    <mergeCell ref="V88:V89"/>
    <mergeCell ref="W88:W89"/>
    <mergeCell ref="X88:X89"/>
    <mergeCell ref="Y88:Y89"/>
    <mergeCell ref="Z88:Z89"/>
    <mergeCell ref="AA88:AA89"/>
    <mergeCell ref="AB88:AB89"/>
    <mergeCell ref="Q88:Q89"/>
    <mergeCell ref="AE88:AE89"/>
    <mergeCell ref="AD88:AD89"/>
    <mergeCell ref="G88:G89"/>
    <mergeCell ref="M88:M89"/>
    <mergeCell ref="N88:N89"/>
    <mergeCell ref="O88:O89"/>
    <mergeCell ref="P88:P89"/>
    <mergeCell ref="R88:R89"/>
    <mergeCell ref="T88:T89"/>
    <mergeCell ref="AG91:AG92"/>
    <mergeCell ref="AF97:AF98"/>
    <mergeCell ref="AG97:AG98"/>
    <mergeCell ref="E100:E101"/>
    <mergeCell ref="F100:F101"/>
    <mergeCell ref="AB97:AB98"/>
    <mergeCell ref="AC97:AC98"/>
    <mergeCell ref="V97:V98"/>
    <mergeCell ref="W97:W98"/>
    <mergeCell ref="X97:X98"/>
    <mergeCell ref="AD97:AD98"/>
    <mergeCell ref="AE97:AE98"/>
    <mergeCell ref="Z97:Z98"/>
    <mergeCell ref="AA97:AA98"/>
    <mergeCell ref="Y97:Y98"/>
    <mergeCell ref="O97:O98"/>
    <mergeCell ref="P97:P98"/>
    <mergeCell ref="Q97:Q98"/>
    <mergeCell ref="R97:R98"/>
    <mergeCell ref="AF94:AF95"/>
    <mergeCell ref="AG94:AG95"/>
    <mergeCell ref="G97:G98"/>
    <mergeCell ref="H97:H98"/>
    <mergeCell ref="T97:T98"/>
    <mergeCell ref="U97:U98"/>
    <mergeCell ref="I97:I98"/>
    <mergeCell ref="J97:J98"/>
    <mergeCell ref="K97:K98"/>
    <mergeCell ref="L97:L98"/>
    <mergeCell ref="A97:A99"/>
    <mergeCell ref="B97:B99"/>
    <mergeCell ref="C97:C99"/>
    <mergeCell ref="D97:D98"/>
    <mergeCell ref="AA94:AA95"/>
    <mergeCell ref="AB94:AB95"/>
    <mergeCell ref="M97:M98"/>
    <mergeCell ref="N97:N98"/>
    <mergeCell ref="E94:E95"/>
    <mergeCell ref="E97:E98"/>
    <mergeCell ref="F97:F98"/>
    <mergeCell ref="AC94:AC95"/>
    <mergeCell ref="AD94:AD95"/>
    <mergeCell ref="R94:R95"/>
    <mergeCell ref="T94:T95"/>
    <mergeCell ref="U94:U95"/>
    <mergeCell ref="V94:V95"/>
    <mergeCell ref="W94:W95"/>
    <mergeCell ref="X94:X95"/>
    <mergeCell ref="Y94:Y95"/>
    <mergeCell ref="Z94:Z95"/>
    <mergeCell ref="J94:J95"/>
    <mergeCell ref="K94:K95"/>
    <mergeCell ref="L94:L95"/>
    <mergeCell ref="M94:M95"/>
    <mergeCell ref="N94:N95"/>
    <mergeCell ref="O94:O95"/>
    <mergeCell ref="P94:P95"/>
    <mergeCell ref="Q94:Q95"/>
    <mergeCell ref="F94:F95"/>
    <mergeCell ref="G94:G95"/>
    <mergeCell ref="H94:H95"/>
    <mergeCell ref="I94:I95"/>
    <mergeCell ref="A94:A96"/>
    <mergeCell ref="B94:B96"/>
    <mergeCell ref="C94:C96"/>
    <mergeCell ref="D94:D95"/>
    <mergeCell ref="AF103:AF104"/>
    <mergeCell ref="AG103:AG104"/>
    <mergeCell ref="E106:E107"/>
    <mergeCell ref="F106:F107"/>
    <mergeCell ref="AB103:AB104"/>
    <mergeCell ref="AC103:AC104"/>
    <mergeCell ref="V103:V104"/>
    <mergeCell ref="W103:W104"/>
    <mergeCell ref="X103:X104"/>
    <mergeCell ref="Y103:Y104"/>
    <mergeCell ref="AD103:AD104"/>
    <mergeCell ref="AE103:AE104"/>
    <mergeCell ref="Z103:Z104"/>
    <mergeCell ref="AA103:AA104"/>
    <mergeCell ref="O103:O104"/>
    <mergeCell ref="P103:P104"/>
    <mergeCell ref="Q103:Q104"/>
    <mergeCell ref="R103:R104"/>
    <mergeCell ref="AF100:AF101"/>
    <mergeCell ref="AG100:AG101"/>
    <mergeCell ref="G103:G104"/>
    <mergeCell ref="H103:H104"/>
    <mergeCell ref="T103:T104"/>
    <mergeCell ref="U103:U104"/>
    <mergeCell ref="I103:I104"/>
    <mergeCell ref="J103:J104"/>
    <mergeCell ref="K103:K104"/>
    <mergeCell ref="L103:L104"/>
    <mergeCell ref="A103:A105"/>
    <mergeCell ref="B103:B105"/>
    <mergeCell ref="C103:C105"/>
    <mergeCell ref="D103:D104"/>
    <mergeCell ref="AB100:AB101"/>
    <mergeCell ref="AC100:AC101"/>
    <mergeCell ref="M103:M104"/>
    <mergeCell ref="N103:N104"/>
    <mergeCell ref="AD100:AD101"/>
    <mergeCell ref="AE100:AE101"/>
    <mergeCell ref="T100:T101"/>
    <mergeCell ref="U100:U101"/>
    <mergeCell ref="V100:V101"/>
    <mergeCell ref="W100:W101"/>
    <mergeCell ref="X100:X101"/>
    <mergeCell ref="Y100:Y101"/>
    <mergeCell ref="O100:O101"/>
    <mergeCell ref="P100:P101"/>
    <mergeCell ref="Q100:Q101"/>
    <mergeCell ref="R100:R101"/>
    <mergeCell ref="E103:E104"/>
    <mergeCell ref="F103:F104"/>
    <mergeCell ref="A100:A102"/>
    <mergeCell ref="B100:B102"/>
    <mergeCell ref="C100:C102"/>
    <mergeCell ref="D100:D101"/>
    <mergeCell ref="Z100:Z101"/>
    <mergeCell ref="AA100:AA101"/>
    <mergeCell ref="K100:K101"/>
    <mergeCell ref="L100:L101"/>
    <mergeCell ref="M100:M101"/>
    <mergeCell ref="N100:N101"/>
    <mergeCell ref="F109:F110"/>
    <mergeCell ref="G109:G110"/>
    <mergeCell ref="J109:J110"/>
    <mergeCell ref="K109:K110"/>
    <mergeCell ref="G100:G101"/>
    <mergeCell ref="H100:H101"/>
    <mergeCell ref="I100:I101"/>
    <mergeCell ref="J100:J101"/>
    <mergeCell ref="V106:V107"/>
    <mergeCell ref="W106:W107"/>
    <mergeCell ref="X106:X107"/>
    <mergeCell ref="Y106:Y107"/>
    <mergeCell ref="AG106:AG107"/>
    <mergeCell ref="A109:A111"/>
    <mergeCell ref="B109:B111"/>
    <mergeCell ref="C109:C111"/>
    <mergeCell ref="D109:D110"/>
    <mergeCell ref="E109:E110"/>
    <mergeCell ref="H109:H110"/>
    <mergeCell ref="I109:I110"/>
    <mergeCell ref="Z106:Z107"/>
    <mergeCell ref="AA106:AA107"/>
    <mergeCell ref="T106:T107"/>
    <mergeCell ref="U106:U107"/>
    <mergeCell ref="K106:K107"/>
    <mergeCell ref="L106:L107"/>
    <mergeCell ref="N109:N110"/>
    <mergeCell ref="O109:O110"/>
    <mergeCell ref="M106:M107"/>
    <mergeCell ref="N106:N107"/>
    <mergeCell ref="O106:O107"/>
    <mergeCell ref="P106:P107"/>
    <mergeCell ref="AD106:AD107"/>
    <mergeCell ref="AF106:AF107"/>
    <mergeCell ref="AB106:AB107"/>
    <mergeCell ref="AC106:AC107"/>
    <mergeCell ref="Q106:Q107"/>
    <mergeCell ref="R106:R107"/>
    <mergeCell ref="G106:G107"/>
    <mergeCell ref="H106:H107"/>
    <mergeCell ref="I106:I107"/>
    <mergeCell ref="J106:J107"/>
    <mergeCell ref="A106:A108"/>
    <mergeCell ref="B106:B108"/>
    <mergeCell ref="C106:C108"/>
    <mergeCell ref="D106:D107"/>
    <mergeCell ref="AG112:AG113"/>
    <mergeCell ref="A115:A117"/>
    <mergeCell ref="B115:B117"/>
    <mergeCell ref="C115:C117"/>
    <mergeCell ref="D115:D116"/>
    <mergeCell ref="E115:E116"/>
    <mergeCell ref="F115:F116"/>
    <mergeCell ref="G115:G116"/>
    <mergeCell ref="J115:J116"/>
    <mergeCell ref="K115:K116"/>
    <mergeCell ref="N115:N116"/>
    <mergeCell ref="O115:O116"/>
    <mergeCell ref="AB112:AB113"/>
    <mergeCell ref="AC112:AC113"/>
    <mergeCell ref="AC115:AC116"/>
    <mergeCell ref="V112:V113"/>
    <mergeCell ref="W112:W113"/>
    <mergeCell ref="X112:X113"/>
    <mergeCell ref="Y112:Y113"/>
    <mergeCell ref="AD112:AD113"/>
    <mergeCell ref="AF112:AF113"/>
    <mergeCell ref="H115:H116"/>
    <mergeCell ref="I115:I116"/>
    <mergeCell ref="Z112:Z113"/>
    <mergeCell ref="AA112:AA113"/>
    <mergeCell ref="T112:T113"/>
    <mergeCell ref="U112:U113"/>
    <mergeCell ref="K112:K113"/>
    <mergeCell ref="L112:L113"/>
    <mergeCell ref="I112:I113"/>
    <mergeCell ref="J112:J113"/>
    <mergeCell ref="AF109:AF110"/>
    <mergeCell ref="AG109:AG110"/>
    <mergeCell ref="Q112:Q113"/>
    <mergeCell ref="R112:R113"/>
    <mergeCell ref="AC109:AC110"/>
    <mergeCell ref="AD109:AD110"/>
    <mergeCell ref="AA109:AA110"/>
    <mergeCell ref="AB109:AB110"/>
    <mergeCell ref="A112:A114"/>
    <mergeCell ref="B112:B114"/>
    <mergeCell ref="C112:C114"/>
    <mergeCell ref="D112:D113"/>
    <mergeCell ref="G112:G113"/>
    <mergeCell ref="H112:H113"/>
    <mergeCell ref="Q109:Q110"/>
    <mergeCell ref="R109:R110"/>
    <mergeCell ref="T109:T110"/>
    <mergeCell ref="U109:U110"/>
    <mergeCell ref="V109:V110"/>
    <mergeCell ref="M112:M113"/>
    <mergeCell ref="N112:N113"/>
    <mergeCell ref="O112:O113"/>
    <mergeCell ref="P112:P113"/>
    <mergeCell ref="AG118:AG119"/>
    <mergeCell ref="L109:L110"/>
    <mergeCell ref="M109:M110"/>
    <mergeCell ref="Y109:Y110"/>
    <mergeCell ref="Z109:Z110"/>
    <mergeCell ref="E112:E113"/>
    <mergeCell ref="F112:F113"/>
    <mergeCell ref="W109:W110"/>
    <mergeCell ref="X109:X110"/>
    <mergeCell ref="P109:P110"/>
    <mergeCell ref="A138:A140"/>
    <mergeCell ref="B138:B140"/>
    <mergeCell ref="C138:C140"/>
    <mergeCell ref="D138:D139"/>
    <mergeCell ref="AA118:AA119"/>
    <mergeCell ref="AB118:AB119"/>
    <mergeCell ref="F138:F139"/>
    <mergeCell ref="L118:L119"/>
    <mergeCell ref="M118:M119"/>
    <mergeCell ref="F118:F119"/>
    <mergeCell ref="G118:G119"/>
    <mergeCell ref="H118:H119"/>
    <mergeCell ref="I118:I119"/>
    <mergeCell ref="J118:J119"/>
    <mergeCell ref="K118:K119"/>
    <mergeCell ref="N118:N119"/>
    <mergeCell ref="O118:O119"/>
    <mergeCell ref="AC118:AC119"/>
    <mergeCell ref="AD118:AD119"/>
    <mergeCell ref="R118:R119"/>
    <mergeCell ref="T118:T119"/>
    <mergeCell ref="U118:U119"/>
    <mergeCell ref="V118:V119"/>
    <mergeCell ref="AF115:AF116"/>
    <mergeCell ref="P118:P119"/>
    <mergeCell ref="Q118:Q119"/>
    <mergeCell ref="W118:W119"/>
    <mergeCell ref="X118:X119"/>
    <mergeCell ref="Y118:Y119"/>
    <mergeCell ref="Z118:Z119"/>
    <mergeCell ref="AF118:AF119"/>
    <mergeCell ref="W115:W116"/>
    <mergeCell ref="X115:X116"/>
    <mergeCell ref="Y115:Y116"/>
    <mergeCell ref="Z115:Z116"/>
    <mergeCell ref="AD115:AD116"/>
    <mergeCell ref="AE115:AE116"/>
    <mergeCell ref="R115:R116"/>
    <mergeCell ref="T115:T116"/>
    <mergeCell ref="U115:U116"/>
    <mergeCell ref="V115:V116"/>
    <mergeCell ref="AG115:AG116"/>
    <mergeCell ref="A118:A137"/>
    <mergeCell ref="B118:B137"/>
    <mergeCell ref="C118:C137"/>
    <mergeCell ref="D118:D119"/>
    <mergeCell ref="E118:E119"/>
    <mergeCell ref="AB138:AB139"/>
    <mergeCell ref="AC138:AC139"/>
    <mergeCell ref="AD138:AD139"/>
    <mergeCell ref="AF138:AF139"/>
    <mergeCell ref="L115:L116"/>
    <mergeCell ref="M115:M116"/>
    <mergeCell ref="AA115:AA116"/>
    <mergeCell ref="AB115:AB116"/>
    <mergeCell ref="P115:P116"/>
    <mergeCell ref="Q115:Q116"/>
    <mergeCell ref="AG138:AG139"/>
    <mergeCell ref="AE143:AE144"/>
    <mergeCell ref="AF143:AF144"/>
    <mergeCell ref="AC143:AC144"/>
    <mergeCell ref="AD143:AD144"/>
    <mergeCell ref="AG143:AG144"/>
    <mergeCell ref="AG141:AG142"/>
    <mergeCell ref="A141:A144"/>
    <mergeCell ref="B141:B144"/>
    <mergeCell ref="C141:C144"/>
    <mergeCell ref="D141:D142"/>
    <mergeCell ref="M143:M144"/>
    <mergeCell ref="N143:N144"/>
    <mergeCell ref="E143:E144"/>
    <mergeCell ref="F143:F144"/>
    <mergeCell ref="G143:G144"/>
    <mergeCell ref="AF147:AF148"/>
    <mergeCell ref="P141:P142"/>
    <mergeCell ref="Q141:Q142"/>
    <mergeCell ref="F141:F142"/>
    <mergeCell ref="G141:G142"/>
    <mergeCell ref="Z143:Z144"/>
    <mergeCell ref="AA143:AA144"/>
    <mergeCell ref="AB143:AB144"/>
    <mergeCell ref="W143:W144"/>
    <mergeCell ref="X143:X144"/>
    <mergeCell ref="M138:M139"/>
    <mergeCell ref="U138:U139"/>
    <mergeCell ref="E141:E142"/>
    <mergeCell ref="V138:V139"/>
    <mergeCell ref="W138:W139"/>
    <mergeCell ref="G138:G139"/>
    <mergeCell ref="H138:H139"/>
    <mergeCell ref="W141:W142"/>
    <mergeCell ref="N138:N139"/>
    <mergeCell ref="E138:E139"/>
    <mergeCell ref="AA138:AA139"/>
    <mergeCell ref="O138:O139"/>
    <mergeCell ref="P138:P139"/>
    <mergeCell ref="Q138:Q139"/>
    <mergeCell ref="R138:R139"/>
    <mergeCell ref="T138:T139"/>
    <mergeCell ref="X138:X139"/>
    <mergeCell ref="A145:A148"/>
    <mergeCell ref="B145:B148"/>
    <mergeCell ref="C145:C148"/>
    <mergeCell ref="D145:D146"/>
    <mergeCell ref="Y138:Y139"/>
    <mergeCell ref="Z138:Z139"/>
    <mergeCell ref="I138:I139"/>
    <mergeCell ref="J138:J139"/>
    <mergeCell ref="K138:K139"/>
    <mergeCell ref="L138:L139"/>
    <mergeCell ref="Y143:Y144"/>
    <mergeCell ref="S143:S144"/>
    <mergeCell ref="T143:T144"/>
    <mergeCell ref="U143:U144"/>
    <mergeCell ref="V143:V144"/>
    <mergeCell ref="K143:K144"/>
    <mergeCell ref="L143:L144"/>
    <mergeCell ref="O143:O144"/>
    <mergeCell ref="P143:P144"/>
    <mergeCell ref="Q143:Q144"/>
    <mergeCell ref="R143:R144"/>
    <mergeCell ref="E145:E146"/>
    <mergeCell ref="F145:F146"/>
    <mergeCell ref="G145:G146"/>
    <mergeCell ref="H143:H144"/>
    <mergeCell ref="I143:I144"/>
    <mergeCell ref="J143:J144"/>
    <mergeCell ref="Y141:Y142"/>
    <mergeCell ref="N141:N142"/>
    <mergeCell ref="O141:O142"/>
    <mergeCell ref="R141:R142"/>
    <mergeCell ref="T141:T142"/>
    <mergeCell ref="U141:U142"/>
    <mergeCell ref="V141:V142"/>
    <mergeCell ref="M141:M142"/>
    <mergeCell ref="Z141:Z142"/>
    <mergeCell ref="AA141:AA142"/>
    <mergeCell ref="AB141:AB142"/>
    <mergeCell ref="AF141:AF142"/>
    <mergeCell ref="AC141:AC142"/>
    <mergeCell ref="AD141:AD142"/>
    <mergeCell ref="AG147:AG148"/>
    <mergeCell ref="AA147:AA148"/>
    <mergeCell ref="AB147:AB148"/>
    <mergeCell ref="AC147:AC148"/>
    <mergeCell ref="X141:X142"/>
    <mergeCell ref="H141:H142"/>
    <mergeCell ref="I141:I142"/>
    <mergeCell ref="J141:J142"/>
    <mergeCell ref="K141:K142"/>
    <mergeCell ref="L141:L142"/>
    <mergeCell ref="A149:A152"/>
    <mergeCell ref="B149:B152"/>
    <mergeCell ref="C149:C152"/>
    <mergeCell ref="D149:D150"/>
    <mergeCell ref="E149:E150"/>
    <mergeCell ref="J151:J152"/>
    <mergeCell ref="AE147:AE148"/>
    <mergeCell ref="T147:T148"/>
    <mergeCell ref="U147:U148"/>
    <mergeCell ref="V147:V148"/>
    <mergeCell ref="W147:W148"/>
    <mergeCell ref="X147:X148"/>
    <mergeCell ref="Y147:Y148"/>
    <mergeCell ref="K147:K148"/>
    <mergeCell ref="N147:N148"/>
    <mergeCell ref="O147:O148"/>
    <mergeCell ref="P147:P148"/>
    <mergeCell ref="Q147:Q148"/>
    <mergeCell ref="AD147:AD148"/>
    <mergeCell ref="W145:W146"/>
    <mergeCell ref="X145:X146"/>
    <mergeCell ref="Y145:Y146"/>
    <mergeCell ref="AG145:AG146"/>
    <mergeCell ref="E147:E148"/>
    <mergeCell ref="F147:F148"/>
    <mergeCell ref="G147:G148"/>
    <mergeCell ref="H147:H148"/>
    <mergeCell ref="I147:I148"/>
    <mergeCell ref="J147:J148"/>
    <mergeCell ref="O145:O146"/>
    <mergeCell ref="P145:P146"/>
    <mergeCell ref="Q145:Q146"/>
    <mergeCell ref="AF145:AF146"/>
    <mergeCell ref="L147:L148"/>
    <mergeCell ref="M147:M148"/>
    <mergeCell ref="AA145:AA146"/>
    <mergeCell ref="AB145:AB146"/>
    <mergeCell ref="U145:U146"/>
    <mergeCell ref="V145:V146"/>
    <mergeCell ref="AD145:AD146"/>
    <mergeCell ref="Z145:Z146"/>
    <mergeCell ref="H145:H146"/>
    <mergeCell ref="I145:I146"/>
    <mergeCell ref="J145:J146"/>
    <mergeCell ref="K145:K146"/>
    <mergeCell ref="L145:L146"/>
    <mergeCell ref="M145:M146"/>
    <mergeCell ref="R145:R146"/>
    <mergeCell ref="N145:N146"/>
    <mergeCell ref="T145:T146"/>
    <mergeCell ref="AE145:AE146"/>
    <mergeCell ref="R147:R148"/>
    <mergeCell ref="S147:S148"/>
    <mergeCell ref="Z147:Z148"/>
    <mergeCell ref="AB151:AB152"/>
    <mergeCell ref="AC151:AC152"/>
    <mergeCell ref="AD151:AD152"/>
    <mergeCell ref="AE151:AE152"/>
    <mergeCell ref="AC145:AC146"/>
    <mergeCell ref="R151:R152"/>
    <mergeCell ref="S151:S152"/>
    <mergeCell ref="L153:L154"/>
    <mergeCell ref="M153:M154"/>
    <mergeCell ref="N153:N154"/>
    <mergeCell ref="AG151:AG152"/>
    <mergeCell ref="V151:V152"/>
    <mergeCell ref="W151:W152"/>
    <mergeCell ref="X151:X152"/>
    <mergeCell ref="Y151:Y152"/>
    <mergeCell ref="O153:O154"/>
    <mergeCell ref="P153:P154"/>
    <mergeCell ref="I153:I154"/>
    <mergeCell ref="J153:J154"/>
    <mergeCell ref="P151:P152"/>
    <mergeCell ref="Q151:Q152"/>
    <mergeCell ref="K151:K152"/>
    <mergeCell ref="L151:L152"/>
    <mergeCell ref="M151:M152"/>
    <mergeCell ref="N151:N152"/>
    <mergeCell ref="O151:O152"/>
    <mergeCell ref="AB149:AB150"/>
    <mergeCell ref="E153:E154"/>
    <mergeCell ref="F153:F154"/>
    <mergeCell ref="Q153:Q154"/>
    <mergeCell ref="R153:R154"/>
    <mergeCell ref="G153:G154"/>
    <mergeCell ref="H153:H154"/>
    <mergeCell ref="AC149:AC150"/>
    <mergeCell ref="AD149:AD150"/>
    <mergeCell ref="AF149:AF150"/>
    <mergeCell ref="T151:T152"/>
    <mergeCell ref="U151:U152"/>
    <mergeCell ref="AF151:AF152"/>
    <mergeCell ref="Z151:Z152"/>
    <mergeCell ref="AA151:AA152"/>
    <mergeCell ref="AG149:AG150"/>
    <mergeCell ref="E151:E152"/>
    <mergeCell ref="F151:F152"/>
    <mergeCell ref="G151:G152"/>
    <mergeCell ref="H151:H152"/>
    <mergeCell ref="I151:I152"/>
    <mergeCell ref="V149:V150"/>
    <mergeCell ref="W149:W150"/>
    <mergeCell ref="X149:X150"/>
    <mergeCell ref="Y149:Y150"/>
    <mergeCell ref="AA149:AA150"/>
    <mergeCell ref="O149:O150"/>
    <mergeCell ref="P149:P150"/>
    <mergeCell ref="Q149:Q150"/>
    <mergeCell ref="R149:R150"/>
    <mergeCell ref="T149:T150"/>
    <mergeCell ref="U149:U150"/>
    <mergeCell ref="F149:F150"/>
    <mergeCell ref="G149:G150"/>
    <mergeCell ref="H149:H150"/>
    <mergeCell ref="I149:I150"/>
    <mergeCell ref="L149:L150"/>
    <mergeCell ref="Z149:Z150"/>
    <mergeCell ref="M149:M150"/>
    <mergeCell ref="N149:N150"/>
    <mergeCell ref="J149:J150"/>
    <mergeCell ref="K149:K150"/>
    <mergeCell ref="AE157:AE158"/>
    <mergeCell ref="AF157:AF158"/>
    <mergeCell ref="AA157:AA158"/>
    <mergeCell ref="AB157:AB158"/>
    <mergeCell ref="AC157:AC158"/>
    <mergeCell ref="AD157:AD158"/>
    <mergeCell ref="P155:P156"/>
    <mergeCell ref="Q155:Q156"/>
    <mergeCell ref="Q157:Q158"/>
    <mergeCell ref="R157:R158"/>
    <mergeCell ref="J159:J160"/>
    <mergeCell ref="K159:K160"/>
    <mergeCell ref="Y157:Y158"/>
    <mergeCell ref="Z157:Z158"/>
    <mergeCell ref="U157:U158"/>
    <mergeCell ref="V157:V158"/>
    <mergeCell ref="W157:W158"/>
    <mergeCell ref="X157:X158"/>
    <mergeCell ref="O157:O158"/>
    <mergeCell ref="P157:P158"/>
    <mergeCell ref="I167:I168"/>
    <mergeCell ref="J167:J168"/>
    <mergeCell ref="S157:S158"/>
    <mergeCell ref="T157:T158"/>
    <mergeCell ref="M159:M160"/>
    <mergeCell ref="N159:N160"/>
    <mergeCell ref="K157:K158"/>
    <mergeCell ref="L157:L158"/>
    <mergeCell ref="X155:X156"/>
    <mergeCell ref="Y155:Y156"/>
    <mergeCell ref="AG157:AG158"/>
    <mergeCell ref="E159:E160"/>
    <mergeCell ref="F159:F160"/>
    <mergeCell ref="G159:G160"/>
    <mergeCell ref="H159:H160"/>
    <mergeCell ref="I159:I160"/>
    <mergeCell ref="M157:M158"/>
    <mergeCell ref="N157:N158"/>
    <mergeCell ref="AD155:AD156"/>
    <mergeCell ref="AE155:AE156"/>
    <mergeCell ref="N155:N156"/>
    <mergeCell ref="O155:O156"/>
    <mergeCell ref="AB155:AB156"/>
    <mergeCell ref="AC155:AC156"/>
    <mergeCell ref="T155:T156"/>
    <mergeCell ref="U155:U156"/>
    <mergeCell ref="V155:V156"/>
    <mergeCell ref="W155:W156"/>
    <mergeCell ref="R155:R156"/>
    <mergeCell ref="S155:S156"/>
    <mergeCell ref="AF155:AF156"/>
    <mergeCell ref="AG155:AG156"/>
    <mergeCell ref="E157:E158"/>
    <mergeCell ref="F157:F158"/>
    <mergeCell ref="G157:G158"/>
    <mergeCell ref="H157:H158"/>
    <mergeCell ref="I157:I158"/>
    <mergeCell ref="J157:J158"/>
    <mergeCell ref="AD159:AD160"/>
    <mergeCell ref="AE159:AE160"/>
    <mergeCell ref="AF159:AF160"/>
    <mergeCell ref="AG159:AG160"/>
    <mergeCell ref="E155:E156"/>
    <mergeCell ref="F155:F156"/>
    <mergeCell ref="G155:G156"/>
    <mergeCell ref="H155:H156"/>
    <mergeCell ref="Z155:Z156"/>
    <mergeCell ref="AA155:AA156"/>
    <mergeCell ref="AG161:AG162"/>
    <mergeCell ref="AE163:AE164"/>
    <mergeCell ref="AF163:AF164"/>
    <mergeCell ref="S159:S160"/>
    <mergeCell ref="T159:T160"/>
    <mergeCell ref="U159:U160"/>
    <mergeCell ref="V159:V160"/>
    <mergeCell ref="W159:W160"/>
    <mergeCell ref="AB159:AB160"/>
    <mergeCell ref="AC159:AC160"/>
    <mergeCell ref="Z159:Z160"/>
    <mergeCell ref="AA159:AA160"/>
    <mergeCell ref="A161:A168"/>
    <mergeCell ref="B161:B168"/>
    <mergeCell ref="C161:C168"/>
    <mergeCell ref="D161:D162"/>
    <mergeCell ref="X159:X160"/>
    <mergeCell ref="Y159:Y160"/>
    <mergeCell ref="R159:R160"/>
    <mergeCell ref="P159:P160"/>
    <mergeCell ref="Q159:Q160"/>
    <mergeCell ref="O161:O162"/>
    <mergeCell ref="Q161:Q162"/>
    <mergeCell ref="O159:O160"/>
    <mergeCell ref="E167:E168"/>
    <mergeCell ref="F167:F168"/>
    <mergeCell ref="G167:G168"/>
    <mergeCell ref="H167:H168"/>
    <mergeCell ref="E161:E162"/>
    <mergeCell ref="F161:F162"/>
    <mergeCell ref="G163:G164"/>
    <mergeCell ref="L159:L160"/>
    <mergeCell ref="G161:G162"/>
    <mergeCell ref="H161:H162"/>
    <mergeCell ref="I161:I162"/>
    <mergeCell ref="J161:J162"/>
    <mergeCell ref="A153:A160"/>
    <mergeCell ref="B153:B160"/>
    <mergeCell ref="C153:C160"/>
    <mergeCell ref="D153:D154"/>
    <mergeCell ref="E163:E164"/>
    <mergeCell ref="F163:F164"/>
    <mergeCell ref="AG153:AG154"/>
    <mergeCell ref="I155:I156"/>
    <mergeCell ref="J155:J156"/>
    <mergeCell ref="K155:K156"/>
    <mergeCell ref="L155:L156"/>
    <mergeCell ref="M155:M156"/>
    <mergeCell ref="Z153:Z154"/>
    <mergeCell ref="AA153:AA154"/>
    <mergeCell ref="T153:T154"/>
    <mergeCell ref="U153:U154"/>
    <mergeCell ref="AB153:AB154"/>
    <mergeCell ref="AC153:AC154"/>
    <mergeCell ref="AD153:AD154"/>
    <mergeCell ref="AF153:AF154"/>
    <mergeCell ref="V153:V154"/>
    <mergeCell ref="W153:W154"/>
    <mergeCell ref="X153:X154"/>
    <mergeCell ref="Y153:Y154"/>
    <mergeCell ref="P161:P162"/>
    <mergeCell ref="R161:R162"/>
    <mergeCell ref="K161:K162"/>
    <mergeCell ref="L161:L162"/>
    <mergeCell ref="M161:M162"/>
    <mergeCell ref="N161:N162"/>
    <mergeCell ref="H163:H164"/>
    <mergeCell ref="I163:I164"/>
    <mergeCell ref="J163:J164"/>
    <mergeCell ref="K163:K164"/>
    <mergeCell ref="L163:L164"/>
    <mergeCell ref="K153:K154"/>
    <mergeCell ref="T161:T162"/>
    <mergeCell ref="U161:U162"/>
    <mergeCell ref="V161:V162"/>
    <mergeCell ref="W161:W162"/>
    <mergeCell ref="X161:X162"/>
    <mergeCell ref="Y161:Y162"/>
    <mergeCell ref="AG165:AG166"/>
    <mergeCell ref="Y165:Y166"/>
    <mergeCell ref="Z165:Z166"/>
    <mergeCell ref="AA165:AA166"/>
    <mergeCell ref="AD161:AD162"/>
    <mergeCell ref="AF161:AF162"/>
    <mergeCell ref="Z161:Z162"/>
    <mergeCell ref="AA161:AA162"/>
    <mergeCell ref="AB161:AB162"/>
    <mergeCell ref="AC161:AC162"/>
    <mergeCell ref="M165:M166"/>
    <mergeCell ref="N165:N166"/>
    <mergeCell ref="O165:O166"/>
    <mergeCell ref="P165:P166"/>
    <mergeCell ref="AE165:AE166"/>
    <mergeCell ref="AF165:AF166"/>
    <mergeCell ref="Q165:Q166"/>
    <mergeCell ref="R165:R166"/>
    <mergeCell ref="AC165:AC166"/>
    <mergeCell ref="AD165:AD166"/>
    <mergeCell ref="S165:S166"/>
    <mergeCell ref="T165:T166"/>
    <mergeCell ref="U165:U166"/>
    <mergeCell ref="V165:V166"/>
    <mergeCell ref="W165:W166"/>
    <mergeCell ref="X165:X166"/>
    <mergeCell ref="AG163:AG164"/>
    <mergeCell ref="E165:E166"/>
    <mergeCell ref="F165:F166"/>
    <mergeCell ref="G165:G166"/>
    <mergeCell ref="H165:H166"/>
    <mergeCell ref="I165:I166"/>
    <mergeCell ref="J165:J166"/>
    <mergeCell ref="K165:K166"/>
    <mergeCell ref="L165:L166"/>
    <mergeCell ref="AB165:AB166"/>
    <mergeCell ref="M163:M164"/>
    <mergeCell ref="N163:N164"/>
    <mergeCell ref="O163:O164"/>
    <mergeCell ref="P163:P164"/>
    <mergeCell ref="Q163:Q164"/>
    <mergeCell ref="X163:X164"/>
    <mergeCell ref="R163:R164"/>
    <mergeCell ref="S163:S164"/>
    <mergeCell ref="AD163:AD164"/>
    <mergeCell ref="T163:T164"/>
    <mergeCell ref="U163:U164"/>
    <mergeCell ref="V163:V164"/>
    <mergeCell ref="W163:W164"/>
    <mergeCell ref="AB163:AB164"/>
    <mergeCell ref="AC163:AC164"/>
    <mergeCell ref="Y163:Y164"/>
    <mergeCell ref="Z163:Z164"/>
    <mergeCell ref="AA163:AA164"/>
    <mergeCell ref="G169:G171"/>
    <mergeCell ref="H169:H171"/>
    <mergeCell ref="I169:I171"/>
    <mergeCell ref="J169:J171"/>
    <mergeCell ref="A169:A177"/>
    <mergeCell ref="B169:B177"/>
    <mergeCell ref="C169:C177"/>
    <mergeCell ref="D169:D171"/>
    <mergeCell ref="AB167:AB168"/>
    <mergeCell ref="AC167:AC168"/>
    <mergeCell ref="E169:E171"/>
    <mergeCell ref="F169:F171"/>
    <mergeCell ref="X167:X168"/>
    <mergeCell ref="Y167:Y168"/>
    <mergeCell ref="R167:R168"/>
    <mergeCell ref="S167:S168"/>
    <mergeCell ref="T167:T168"/>
    <mergeCell ref="U167:U168"/>
    <mergeCell ref="L167:L168"/>
    <mergeCell ref="M167:M168"/>
    <mergeCell ref="N167:N168"/>
    <mergeCell ref="O167:O168"/>
    <mergeCell ref="X174:X175"/>
    <mergeCell ref="Y174:Y175"/>
    <mergeCell ref="W174:W175"/>
    <mergeCell ref="AE167:AE168"/>
    <mergeCell ref="AF167:AF168"/>
    <mergeCell ref="Z167:Z168"/>
    <mergeCell ref="AA167:AA168"/>
    <mergeCell ref="AD174:AD175"/>
    <mergeCell ref="AE174:AE175"/>
    <mergeCell ref="AE172:AE173"/>
    <mergeCell ref="Z174:Z175"/>
    <mergeCell ref="AA174:AA175"/>
    <mergeCell ref="Z169:Z171"/>
    <mergeCell ref="AB169:AB171"/>
    <mergeCell ref="AD167:AD168"/>
    <mergeCell ref="AF174:AF175"/>
    <mergeCell ref="AG174:AG175"/>
    <mergeCell ref="P167:P168"/>
    <mergeCell ref="Q167:Q168"/>
    <mergeCell ref="AB174:AB175"/>
    <mergeCell ref="AC174:AC175"/>
    <mergeCell ref="V174:V175"/>
    <mergeCell ref="E172:E173"/>
    <mergeCell ref="F172:F173"/>
    <mergeCell ref="G172:G173"/>
    <mergeCell ref="H172:H173"/>
    <mergeCell ref="K167:K168"/>
    <mergeCell ref="AC169:AC171"/>
    <mergeCell ref="O172:O173"/>
    <mergeCell ref="P172:P173"/>
    <mergeCell ref="X169:X171"/>
    <mergeCell ref="Y169:Y171"/>
    <mergeCell ref="I172:I173"/>
    <mergeCell ref="J172:J173"/>
    <mergeCell ref="V169:V171"/>
    <mergeCell ref="W169:W171"/>
    <mergeCell ref="K169:K171"/>
    <mergeCell ref="L169:L171"/>
    <mergeCell ref="M169:M171"/>
    <mergeCell ref="N169:N171"/>
    <mergeCell ref="O169:O171"/>
    <mergeCell ref="P169:P171"/>
    <mergeCell ref="AG167:AG168"/>
    <mergeCell ref="Q169:Q171"/>
    <mergeCell ref="R169:R171"/>
    <mergeCell ref="AF169:AF171"/>
    <mergeCell ref="AG169:AG171"/>
    <mergeCell ref="T169:T171"/>
    <mergeCell ref="U169:U171"/>
    <mergeCell ref="V167:V168"/>
    <mergeCell ref="W167:W168"/>
    <mergeCell ref="AD169:AD171"/>
    <mergeCell ref="F178:F179"/>
    <mergeCell ref="G178:G179"/>
    <mergeCell ref="L178:L179"/>
    <mergeCell ref="M178:M179"/>
    <mergeCell ref="R174:R175"/>
    <mergeCell ref="S174:S175"/>
    <mergeCell ref="P178:P179"/>
    <mergeCell ref="Q178:Q179"/>
    <mergeCell ref="M174:M175"/>
    <mergeCell ref="N178:N179"/>
    <mergeCell ref="O178:O179"/>
    <mergeCell ref="T174:T175"/>
    <mergeCell ref="U174:U175"/>
    <mergeCell ref="N174:N175"/>
    <mergeCell ref="O174:O175"/>
    <mergeCell ref="P174:P175"/>
    <mergeCell ref="Q174:Q175"/>
    <mergeCell ref="AG172:AG173"/>
    <mergeCell ref="AA172:AA173"/>
    <mergeCell ref="AB172:AB173"/>
    <mergeCell ref="Y172:Y173"/>
    <mergeCell ref="Z172:Z173"/>
    <mergeCell ref="AC172:AC173"/>
    <mergeCell ref="AD172:AD173"/>
    <mergeCell ref="E174:E175"/>
    <mergeCell ref="F174:F175"/>
    <mergeCell ref="G174:G175"/>
    <mergeCell ref="H174:H175"/>
    <mergeCell ref="AF172:AF173"/>
    <mergeCell ref="U172:U173"/>
    <mergeCell ref="V172:V173"/>
    <mergeCell ref="J174:J175"/>
    <mergeCell ref="K174:K175"/>
    <mergeCell ref="L174:L175"/>
    <mergeCell ref="I174:I175"/>
    <mergeCell ref="W172:W173"/>
    <mergeCell ref="X172:X173"/>
    <mergeCell ref="K172:K173"/>
    <mergeCell ref="L172:L173"/>
    <mergeCell ref="M172:M173"/>
    <mergeCell ref="N172:N173"/>
    <mergeCell ref="Q172:Q173"/>
    <mergeCell ref="R172:R173"/>
    <mergeCell ref="S172:S173"/>
    <mergeCell ref="T172:T173"/>
    <mergeCell ref="AF180:AF181"/>
    <mergeCell ref="AG180:AG181"/>
    <mergeCell ref="E182:E183"/>
    <mergeCell ref="F182:F183"/>
    <mergeCell ref="G182:G183"/>
    <mergeCell ref="H182:H183"/>
    <mergeCell ref="I182:I183"/>
    <mergeCell ref="J182:J183"/>
    <mergeCell ref="K182:K183"/>
    <mergeCell ref="M180:M181"/>
    <mergeCell ref="N180:N181"/>
    <mergeCell ref="O180:O181"/>
    <mergeCell ref="P180:P181"/>
    <mergeCell ref="W180:W181"/>
    <mergeCell ref="X180:X181"/>
    <mergeCell ref="AC180:AC181"/>
    <mergeCell ref="AD180:AD181"/>
    <mergeCell ref="S180:S181"/>
    <mergeCell ref="T180:T181"/>
    <mergeCell ref="U180:U181"/>
    <mergeCell ref="V180:V181"/>
    <mergeCell ref="AA180:AA181"/>
    <mergeCell ref="AB180:AB181"/>
    <mergeCell ref="Y180:Y181"/>
    <mergeCell ref="Z180:Z181"/>
    <mergeCell ref="Q180:Q181"/>
    <mergeCell ref="R180:R181"/>
    <mergeCell ref="U176:U177"/>
    <mergeCell ref="V176:V177"/>
    <mergeCell ref="Q176:Q177"/>
    <mergeCell ref="R176:R177"/>
    <mergeCell ref="T176:T177"/>
    <mergeCell ref="AC176:AC177"/>
    <mergeCell ref="AD176:AD177"/>
    <mergeCell ref="Y176:Y177"/>
    <mergeCell ref="Z176:Z177"/>
    <mergeCell ref="AA176:AA177"/>
    <mergeCell ref="AB176:AB177"/>
    <mergeCell ref="W176:W177"/>
    <mergeCell ref="X176:X177"/>
    <mergeCell ref="L180:L181"/>
    <mergeCell ref="O176:O177"/>
    <mergeCell ref="P176:P177"/>
    <mergeCell ref="AE176:AE177"/>
    <mergeCell ref="AF176:AF177"/>
    <mergeCell ref="AG176:AG177"/>
    <mergeCell ref="L176:L177"/>
    <mergeCell ref="M176:M177"/>
    <mergeCell ref="N176:N177"/>
    <mergeCell ref="S176:S177"/>
    <mergeCell ref="V178:V179"/>
    <mergeCell ref="W178:W179"/>
    <mergeCell ref="X178:X179"/>
    <mergeCell ref="Y178:Y179"/>
    <mergeCell ref="E176:E177"/>
    <mergeCell ref="F176:F177"/>
    <mergeCell ref="G176:G177"/>
    <mergeCell ref="H176:H177"/>
    <mergeCell ref="E178:E179"/>
    <mergeCell ref="K176:K177"/>
    <mergeCell ref="K178:K179"/>
    <mergeCell ref="AC178:AC179"/>
    <mergeCell ref="AD178:AD179"/>
    <mergeCell ref="R178:R179"/>
    <mergeCell ref="I176:I177"/>
    <mergeCell ref="J176:J177"/>
    <mergeCell ref="AA178:AA179"/>
    <mergeCell ref="AB178:AB179"/>
    <mergeCell ref="T178:T179"/>
    <mergeCell ref="U178:U179"/>
    <mergeCell ref="E184:E185"/>
    <mergeCell ref="F184:F185"/>
    <mergeCell ref="G184:G185"/>
    <mergeCell ref="H184:H185"/>
    <mergeCell ref="AF178:AF179"/>
    <mergeCell ref="AG178:AG179"/>
    <mergeCell ref="E180:E181"/>
    <mergeCell ref="H178:H179"/>
    <mergeCell ref="I178:I179"/>
    <mergeCell ref="J178:J179"/>
    <mergeCell ref="M182:M183"/>
    <mergeCell ref="X182:X183"/>
    <mergeCell ref="Y182:Y183"/>
    <mergeCell ref="Z182:Z183"/>
    <mergeCell ref="AA182:AA183"/>
    <mergeCell ref="AB182:AB183"/>
    <mergeCell ref="L184:L185"/>
    <mergeCell ref="V182:V183"/>
    <mergeCell ref="W182:W183"/>
    <mergeCell ref="N182:N183"/>
    <mergeCell ref="O182:O183"/>
    <mergeCell ref="P182:P183"/>
    <mergeCell ref="Q182:Q183"/>
    <mergeCell ref="R182:R183"/>
    <mergeCell ref="S182:S183"/>
    <mergeCell ref="L182:L183"/>
    <mergeCell ref="F180:F181"/>
    <mergeCell ref="G180:G181"/>
    <mergeCell ref="H180:H181"/>
    <mergeCell ref="I180:I181"/>
    <mergeCell ref="J180:J181"/>
    <mergeCell ref="K184:K185"/>
    <mergeCell ref="I184:I185"/>
    <mergeCell ref="J184:J185"/>
    <mergeCell ref="K180:K181"/>
    <mergeCell ref="Z178:Z179"/>
    <mergeCell ref="AC184:AC185"/>
    <mergeCell ref="AD184:AD185"/>
    <mergeCell ref="AE184:AE185"/>
    <mergeCell ref="T182:T183"/>
    <mergeCell ref="U182:U183"/>
    <mergeCell ref="AE180:AE181"/>
    <mergeCell ref="AD182:AD183"/>
    <mergeCell ref="AE182:AE183"/>
    <mergeCell ref="AC182:AC183"/>
    <mergeCell ref="W184:W185"/>
    <mergeCell ref="X184:X185"/>
    <mergeCell ref="Y184:Y185"/>
    <mergeCell ref="Z184:Z185"/>
    <mergeCell ref="AF184:AF185"/>
    <mergeCell ref="T186:T187"/>
    <mergeCell ref="U186:U187"/>
    <mergeCell ref="Z186:Z187"/>
    <mergeCell ref="AA186:AA187"/>
    <mergeCell ref="AB186:AB187"/>
    <mergeCell ref="S184:S185"/>
    <mergeCell ref="T184:T185"/>
    <mergeCell ref="U184:U185"/>
    <mergeCell ref="V184:V185"/>
    <mergeCell ref="AG184:AG185"/>
    <mergeCell ref="E186:E187"/>
    <mergeCell ref="F186:F187"/>
    <mergeCell ref="G186:G187"/>
    <mergeCell ref="H186:H187"/>
    <mergeCell ref="I186:I187"/>
    <mergeCell ref="AF182:AF183"/>
    <mergeCell ref="AG182:AG183"/>
    <mergeCell ref="O184:O185"/>
    <mergeCell ref="P184:P185"/>
    <mergeCell ref="M184:M185"/>
    <mergeCell ref="N184:N185"/>
    <mergeCell ref="AA184:AA185"/>
    <mergeCell ref="AB184:AB185"/>
    <mergeCell ref="Q184:Q185"/>
    <mergeCell ref="R184:R185"/>
    <mergeCell ref="N188:N189"/>
    <mergeCell ref="O188:O189"/>
    <mergeCell ref="P188:P189"/>
    <mergeCell ref="I188:I189"/>
    <mergeCell ref="E190:E191"/>
    <mergeCell ref="F190:F191"/>
    <mergeCell ref="G190:G191"/>
    <mergeCell ref="H190:H191"/>
    <mergeCell ref="Y188:Y189"/>
    <mergeCell ref="Z188:Z189"/>
    <mergeCell ref="U188:U189"/>
    <mergeCell ref="V188:V189"/>
    <mergeCell ref="I190:I191"/>
    <mergeCell ref="W188:W189"/>
    <mergeCell ref="X188:X189"/>
    <mergeCell ref="K188:K189"/>
    <mergeCell ref="L188:L189"/>
    <mergeCell ref="M188:M189"/>
    <mergeCell ref="E188:E189"/>
    <mergeCell ref="F188:F189"/>
    <mergeCell ref="G188:G189"/>
    <mergeCell ref="H188:H189"/>
    <mergeCell ref="AA188:AA189"/>
    <mergeCell ref="AB188:AB189"/>
    <mergeCell ref="Q188:Q189"/>
    <mergeCell ref="R188:R189"/>
    <mergeCell ref="S188:S189"/>
    <mergeCell ref="T188:T189"/>
    <mergeCell ref="J188:J189"/>
    <mergeCell ref="P186:P187"/>
    <mergeCell ref="Q186:Q187"/>
    <mergeCell ref="R186:R187"/>
    <mergeCell ref="J186:J187"/>
    <mergeCell ref="K186:K187"/>
    <mergeCell ref="L186:L187"/>
    <mergeCell ref="M186:M187"/>
    <mergeCell ref="N186:N187"/>
    <mergeCell ref="O186:O187"/>
    <mergeCell ref="S186:S187"/>
    <mergeCell ref="AF186:AF187"/>
    <mergeCell ref="AG186:AG187"/>
    <mergeCell ref="V186:V187"/>
    <mergeCell ref="W186:W187"/>
    <mergeCell ref="X186:X187"/>
    <mergeCell ref="Y186:Y187"/>
    <mergeCell ref="AC186:AC187"/>
    <mergeCell ref="AD186:AD187"/>
    <mergeCell ref="AE186:AE187"/>
    <mergeCell ref="AB190:AB191"/>
    <mergeCell ref="AC190:AC191"/>
    <mergeCell ref="V190:V191"/>
    <mergeCell ref="W190:W191"/>
    <mergeCell ref="X190:X191"/>
    <mergeCell ref="Y190:Y191"/>
    <mergeCell ref="Z190:Z191"/>
    <mergeCell ref="AA190:AA191"/>
    <mergeCell ref="J190:J191"/>
    <mergeCell ref="K190:K191"/>
    <mergeCell ref="L190:L191"/>
    <mergeCell ref="M190:M191"/>
    <mergeCell ref="AF190:AF191"/>
    <mergeCell ref="AG190:AG191"/>
    <mergeCell ref="T190:T191"/>
    <mergeCell ref="U190:U191"/>
    <mergeCell ref="R190:R191"/>
    <mergeCell ref="S190:S191"/>
    <mergeCell ref="AC188:AC189"/>
    <mergeCell ref="AD188:AD189"/>
    <mergeCell ref="AE188:AE189"/>
    <mergeCell ref="AF188:AF189"/>
    <mergeCell ref="N190:N191"/>
    <mergeCell ref="O190:O191"/>
    <mergeCell ref="P190:P191"/>
    <mergeCell ref="Q190:Q191"/>
    <mergeCell ref="AD190:AD191"/>
    <mergeCell ref="AE190:AE191"/>
    <mergeCell ref="E194:E195"/>
    <mergeCell ref="F194:F195"/>
    <mergeCell ref="G194:G195"/>
    <mergeCell ref="H194:H195"/>
    <mergeCell ref="AG188:AG189"/>
    <mergeCell ref="AC192:AC193"/>
    <mergeCell ref="AD192:AD193"/>
    <mergeCell ref="AE192:AE193"/>
    <mergeCell ref="AF192:AF193"/>
    <mergeCell ref="AG192:AG193"/>
    <mergeCell ref="AE199:AE200"/>
    <mergeCell ref="AF199:AF200"/>
    <mergeCell ref="T194:T195"/>
    <mergeCell ref="U194:U195"/>
    <mergeCell ref="AF196:AF198"/>
    <mergeCell ref="AB194:AB195"/>
    <mergeCell ref="AC194:AC195"/>
    <mergeCell ref="AD194:AD195"/>
    <mergeCell ref="AE194:AE195"/>
    <mergeCell ref="AF194:AF195"/>
    <mergeCell ref="P192:P193"/>
    <mergeCell ref="J194:J195"/>
    <mergeCell ref="K194:K195"/>
    <mergeCell ref="I194:I195"/>
    <mergeCell ref="W192:W193"/>
    <mergeCell ref="I192:I193"/>
    <mergeCell ref="J192:J193"/>
    <mergeCell ref="R194:R195"/>
    <mergeCell ref="S194:S195"/>
    <mergeCell ref="L194:L195"/>
    <mergeCell ref="V192:V193"/>
    <mergeCell ref="Z192:Z193"/>
    <mergeCell ref="AA192:AA193"/>
    <mergeCell ref="X192:X193"/>
    <mergeCell ref="Y192:Y193"/>
    <mergeCell ref="K192:K193"/>
    <mergeCell ref="L192:L193"/>
    <mergeCell ref="M192:M193"/>
    <mergeCell ref="N192:N193"/>
    <mergeCell ref="O192:O193"/>
    <mergeCell ref="E192:E193"/>
    <mergeCell ref="F192:F193"/>
    <mergeCell ref="G192:G193"/>
    <mergeCell ref="H192:H193"/>
    <mergeCell ref="AB192:AB193"/>
    <mergeCell ref="Q192:Q193"/>
    <mergeCell ref="R192:R193"/>
    <mergeCell ref="S192:S193"/>
    <mergeCell ref="T192:T193"/>
    <mergeCell ref="U192:U193"/>
    <mergeCell ref="AG196:AG198"/>
    <mergeCell ref="T196:T198"/>
    <mergeCell ref="U196:U198"/>
    <mergeCell ref="V196:V198"/>
    <mergeCell ref="W196:W198"/>
    <mergeCell ref="X196:X198"/>
    <mergeCell ref="Y196:Y198"/>
    <mergeCell ref="AC196:AC198"/>
    <mergeCell ref="AD196:AD198"/>
    <mergeCell ref="G199:G200"/>
    <mergeCell ref="H199:H200"/>
    <mergeCell ref="I199:I200"/>
    <mergeCell ref="J199:J200"/>
    <mergeCell ref="I196:I198"/>
    <mergeCell ref="J196:J198"/>
    <mergeCell ref="A196:A200"/>
    <mergeCell ref="B196:B200"/>
    <mergeCell ref="C196:C200"/>
    <mergeCell ref="D196:D198"/>
    <mergeCell ref="M196:M198"/>
    <mergeCell ref="N196:N198"/>
    <mergeCell ref="E199:E200"/>
    <mergeCell ref="F199:F200"/>
    <mergeCell ref="E196:E198"/>
    <mergeCell ref="F196:F198"/>
    <mergeCell ref="AA194:AA195"/>
    <mergeCell ref="Q196:Q198"/>
    <mergeCell ref="R196:R198"/>
    <mergeCell ref="G196:G198"/>
    <mergeCell ref="H196:H198"/>
    <mergeCell ref="O196:O198"/>
    <mergeCell ref="P196:P198"/>
    <mergeCell ref="K196:K198"/>
    <mergeCell ref="L196:L198"/>
    <mergeCell ref="M194:M195"/>
    <mergeCell ref="N194:N195"/>
    <mergeCell ref="O194:O195"/>
    <mergeCell ref="P194:P195"/>
    <mergeCell ref="Q194:Q195"/>
    <mergeCell ref="AG194:AG195"/>
    <mergeCell ref="V194:V195"/>
    <mergeCell ref="W194:W195"/>
    <mergeCell ref="X194:X195"/>
    <mergeCell ref="Y194:Y195"/>
    <mergeCell ref="Z194:Z195"/>
    <mergeCell ref="AG199:AG200"/>
    <mergeCell ref="A178:A195"/>
    <mergeCell ref="B178:B195"/>
    <mergeCell ref="C178:C195"/>
    <mergeCell ref="D178:D179"/>
    <mergeCell ref="AA199:AA200"/>
    <mergeCell ref="AB199:AB200"/>
    <mergeCell ref="M199:M200"/>
    <mergeCell ref="N199:N200"/>
    <mergeCell ref="O199:O200"/>
    <mergeCell ref="L201:L203"/>
    <mergeCell ref="M201:M203"/>
    <mergeCell ref="A201:A205"/>
    <mergeCell ref="B201:B205"/>
    <mergeCell ref="C201:C205"/>
    <mergeCell ref="D201:D203"/>
    <mergeCell ref="E201:E203"/>
    <mergeCell ref="F201:F203"/>
    <mergeCell ref="J204:J205"/>
    <mergeCell ref="K204:K205"/>
    <mergeCell ref="Y199:Y200"/>
    <mergeCell ref="Z199:Z200"/>
    <mergeCell ref="P199:P200"/>
    <mergeCell ref="AC199:AC200"/>
    <mergeCell ref="AD199:AD200"/>
    <mergeCell ref="S199:S200"/>
    <mergeCell ref="T199:T200"/>
    <mergeCell ref="U199:U200"/>
    <mergeCell ref="V199:V200"/>
    <mergeCell ref="AC204:AC205"/>
    <mergeCell ref="AD204:AD205"/>
    <mergeCell ref="K199:K200"/>
    <mergeCell ref="L199:L200"/>
    <mergeCell ref="Z196:Z198"/>
    <mergeCell ref="AB196:AB198"/>
    <mergeCell ref="Q199:Q200"/>
    <mergeCell ref="R199:R200"/>
    <mergeCell ref="W199:W200"/>
    <mergeCell ref="X199:X200"/>
    <mergeCell ref="U201:U203"/>
    <mergeCell ref="T201:T203"/>
    <mergeCell ref="AG204:AG205"/>
    <mergeCell ref="V204:V205"/>
    <mergeCell ref="W204:W205"/>
    <mergeCell ref="X204:X205"/>
    <mergeCell ref="Y204:Y205"/>
    <mergeCell ref="Z204:Z205"/>
    <mergeCell ref="AA204:AA205"/>
    <mergeCell ref="AB204:AB205"/>
    <mergeCell ref="L204:L205"/>
    <mergeCell ref="M204:M205"/>
    <mergeCell ref="E204:E205"/>
    <mergeCell ref="F204:F205"/>
    <mergeCell ref="G204:G205"/>
    <mergeCell ref="H204:H205"/>
    <mergeCell ref="I204:I205"/>
    <mergeCell ref="AG201:AG203"/>
    <mergeCell ref="V201:V203"/>
    <mergeCell ref="AB201:AB203"/>
    <mergeCell ref="AC201:AC203"/>
    <mergeCell ref="W201:W203"/>
    <mergeCell ref="N204:N205"/>
    <mergeCell ref="O204:O205"/>
    <mergeCell ref="Q201:Q203"/>
    <mergeCell ref="R201:R203"/>
    <mergeCell ref="X201:X203"/>
    <mergeCell ref="G201:G203"/>
    <mergeCell ref="H201:H203"/>
    <mergeCell ref="I201:I203"/>
    <mergeCell ref="J201:J203"/>
    <mergeCell ref="AD201:AD203"/>
    <mergeCell ref="AF201:AF203"/>
    <mergeCell ref="Y201:Y203"/>
    <mergeCell ref="Z201:Z203"/>
    <mergeCell ref="N201:N203"/>
    <mergeCell ref="O201:O203"/>
    <mergeCell ref="K201:K203"/>
    <mergeCell ref="P201:P203"/>
    <mergeCell ref="J208:J209"/>
    <mergeCell ref="K208:K209"/>
    <mergeCell ref="L208:L209"/>
    <mergeCell ref="M208:M209"/>
    <mergeCell ref="O206:O207"/>
    <mergeCell ref="P206:P207"/>
    <mergeCell ref="N208:N209"/>
    <mergeCell ref="O208:O209"/>
    <mergeCell ref="T206:T207"/>
    <mergeCell ref="U206:U207"/>
    <mergeCell ref="V206:V207"/>
    <mergeCell ref="W206:W207"/>
    <mergeCell ref="X206:X207"/>
    <mergeCell ref="Y206:Y207"/>
    <mergeCell ref="AB206:AB207"/>
    <mergeCell ref="AC206:AC207"/>
    <mergeCell ref="AD206:AD207"/>
    <mergeCell ref="AF206:AF207"/>
    <mergeCell ref="Z206:Z207"/>
    <mergeCell ref="AA206:AA207"/>
    <mergeCell ref="Q206:Q207"/>
    <mergeCell ref="R206:R207"/>
    <mergeCell ref="G206:G207"/>
    <mergeCell ref="H206:H207"/>
    <mergeCell ref="I206:I207"/>
    <mergeCell ref="J206:J207"/>
    <mergeCell ref="K206:K207"/>
    <mergeCell ref="L206:L207"/>
    <mergeCell ref="M206:M207"/>
    <mergeCell ref="N206:N207"/>
    <mergeCell ref="E206:E207"/>
    <mergeCell ref="F206:F207"/>
    <mergeCell ref="AE204:AE205"/>
    <mergeCell ref="AF204:AF205"/>
    <mergeCell ref="P204:P205"/>
    <mergeCell ref="Q204:Q205"/>
    <mergeCell ref="R204:R205"/>
    <mergeCell ref="S204:S205"/>
    <mergeCell ref="T204:T205"/>
    <mergeCell ref="U204:U205"/>
    <mergeCell ref="W210:W211"/>
    <mergeCell ref="X210:X211"/>
    <mergeCell ref="AA210:AA211"/>
    <mergeCell ref="AB210:AB211"/>
    <mergeCell ref="AE210:AE211"/>
    <mergeCell ref="AF210:AF211"/>
    <mergeCell ref="K210:K211"/>
    <mergeCell ref="L210:L211"/>
    <mergeCell ref="AG210:AG211"/>
    <mergeCell ref="E212:E213"/>
    <mergeCell ref="F212:F213"/>
    <mergeCell ref="G212:G213"/>
    <mergeCell ref="H212:H213"/>
    <mergeCell ref="I212:I213"/>
    <mergeCell ref="U210:U211"/>
    <mergeCell ref="V210:V211"/>
    <mergeCell ref="X208:X209"/>
    <mergeCell ref="Y208:Y209"/>
    <mergeCell ref="Y210:Y211"/>
    <mergeCell ref="Z210:Z211"/>
    <mergeCell ref="G210:G211"/>
    <mergeCell ref="H210:H211"/>
    <mergeCell ref="M210:M211"/>
    <mergeCell ref="N210:N211"/>
    <mergeCell ref="O210:O211"/>
    <mergeCell ref="P210:P211"/>
    <mergeCell ref="A206:A213"/>
    <mergeCell ref="B206:B213"/>
    <mergeCell ref="C206:C213"/>
    <mergeCell ref="D206:D207"/>
    <mergeCell ref="AF208:AF209"/>
    <mergeCell ref="AG208:AG209"/>
    <mergeCell ref="Q210:Q211"/>
    <mergeCell ref="R210:R211"/>
    <mergeCell ref="AC210:AC211"/>
    <mergeCell ref="AD210:AD211"/>
    <mergeCell ref="Z208:Z209"/>
    <mergeCell ref="AA208:AA209"/>
    <mergeCell ref="AB208:AB209"/>
    <mergeCell ref="AC208:AC209"/>
    <mergeCell ref="E210:E211"/>
    <mergeCell ref="F210:F211"/>
    <mergeCell ref="I210:I211"/>
    <mergeCell ref="J210:J211"/>
    <mergeCell ref="S210:S211"/>
    <mergeCell ref="T210:T211"/>
    <mergeCell ref="T208:T209"/>
    <mergeCell ref="U208:U209"/>
    <mergeCell ref="V208:V209"/>
    <mergeCell ref="W208:W209"/>
    <mergeCell ref="R208:R209"/>
    <mergeCell ref="S208:S209"/>
    <mergeCell ref="AG206:AG207"/>
    <mergeCell ref="E208:E209"/>
    <mergeCell ref="F208:F209"/>
    <mergeCell ref="G208:G209"/>
    <mergeCell ref="H208:H209"/>
    <mergeCell ref="I208:I209"/>
    <mergeCell ref="P208:P209"/>
    <mergeCell ref="Q208:Q209"/>
    <mergeCell ref="AD208:AD209"/>
    <mergeCell ref="AE208:AE209"/>
    <mergeCell ref="Q214:Q216"/>
    <mergeCell ref="R214:R216"/>
    <mergeCell ref="AD214:AD216"/>
    <mergeCell ref="AC212:AC213"/>
    <mergeCell ref="AB214:AB216"/>
    <mergeCell ref="AC214:AC216"/>
    <mergeCell ref="Y214:Y216"/>
    <mergeCell ref="S217:S218"/>
    <mergeCell ref="Z217:Z218"/>
    <mergeCell ref="AB212:AB213"/>
    <mergeCell ref="T212:T213"/>
    <mergeCell ref="U212:U213"/>
    <mergeCell ref="Z212:Z213"/>
    <mergeCell ref="AA212:AA213"/>
    <mergeCell ref="X212:X213"/>
    <mergeCell ref="Y212:Y213"/>
    <mergeCell ref="AG212:AG213"/>
    <mergeCell ref="A214:A218"/>
    <mergeCell ref="B214:B218"/>
    <mergeCell ref="C214:C218"/>
    <mergeCell ref="D214:D216"/>
    <mergeCell ref="E214:E216"/>
    <mergeCell ref="F214:F216"/>
    <mergeCell ref="R212:R213"/>
    <mergeCell ref="S212:S213"/>
    <mergeCell ref="R217:R218"/>
    <mergeCell ref="M212:M213"/>
    <mergeCell ref="N212:N213"/>
    <mergeCell ref="O212:O213"/>
    <mergeCell ref="P212:P213"/>
    <mergeCell ref="Q212:Q213"/>
    <mergeCell ref="AF212:AF213"/>
    <mergeCell ref="AD212:AD213"/>
    <mergeCell ref="AE212:AE213"/>
    <mergeCell ref="AF217:AF218"/>
    <mergeCell ref="AG217:AG218"/>
    <mergeCell ref="AA217:AA218"/>
    <mergeCell ref="AB217:AB218"/>
    <mergeCell ref="AC217:AC218"/>
    <mergeCell ref="J212:J213"/>
    <mergeCell ref="K212:K213"/>
    <mergeCell ref="V212:V213"/>
    <mergeCell ref="W212:W213"/>
    <mergeCell ref="L212:L213"/>
    <mergeCell ref="X217:X218"/>
    <mergeCell ref="Y217:Y218"/>
    <mergeCell ref="M219:M220"/>
    <mergeCell ref="N219:N220"/>
    <mergeCell ref="A219:A224"/>
    <mergeCell ref="B219:B224"/>
    <mergeCell ref="C219:C224"/>
    <mergeCell ref="D219:D220"/>
    <mergeCell ref="E219:E220"/>
    <mergeCell ref="J221:J222"/>
    <mergeCell ref="N217:N218"/>
    <mergeCell ref="O217:O218"/>
    <mergeCell ref="P217:P218"/>
    <mergeCell ref="Q217:Q218"/>
    <mergeCell ref="AD217:AD218"/>
    <mergeCell ref="AE217:AE218"/>
    <mergeCell ref="T217:T218"/>
    <mergeCell ref="U217:U218"/>
    <mergeCell ref="V217:V218"/>
    <mergeCell ref="W217:W218"/>
    <mergeCell ref="W214:W216"/>
    <mergeCell ref="X214:X216"/>
    <mergeCell ref="AG214:AG216"/>
    <mergeCell ref="E217:E218"/>
    <mergeCell ref="F217:F218"/>
    <mergeCell ref="G217:G218"/>
    <mergeCell ref="H217:H218"/>
    <mergeCell ref="I217:I218"/>
    <mergeCell ref="J217:J218"/>
    <mergeCell ref="K217:K218"/>
    <mergeCell ref="O214:O216"/>
    <mergeCell ref="P214:P216"/>
    <mergeCell ref="AF214:AF216"/>
    <mergeCell ref="L217:L218"/>
    <mergeCell ref="M217:M218"/>
    <mergeCell ref="Z214:Z216"/>
    <mergeCell ref="AA214:AA216"/>
    <mergeCell ref="T214:T216"/>
    <mergeCell ref="U214:U216"/>
    <mergeCell ref="V214:V216"/>
    <mergeCell ref="G214:G216"/>
    <mergeCell ref="H214:H216"/>
    <mergeCell ref="I214:I216"/>
    <mergeCell ref="J214:J216"/>
    <mergeCell ref="M214:M216"/>
    <mergeCell ref="N214:N216"/>
    <mergeCell ref="K214:K216"/>
    <mergeCell ref="L214:L216"/>
    <mergeCell ref="AD221:AD222"/>
    <mergeCell ref="AE221:AE222"/>
    <mergeCell ref="P221:P222"/>
    <mergeCell ref="Q221:Q222"/>
    <mergeCell ref="R221:R222"/>
    <mergeCell ref="S221:S222"/>
    <mergeCell ref="K221:K222"/>
    <mergeCell ref="L221:L222"/>
    <mergeCell ref="AF221:AF222"/>
    <mergeCell ref="AG221:AG222"/>
    <mergeCell ref="V221:V222"/>
    <mergeCell ref="W221:W222"/>
    <mergeCell ref="X221:X222"/>
    <mergeCell ref="Y221:Y222"/>
    <mergeCell ref="AF219:AF220"/>
    <mergeCell ref="T221:T222"/>
    <mergeCell ref="U221:U222"/>
    <mergeCell ref="Z221:Z222"/>
    <mergeCell ref="AA221:AA222"/>
    <mergeCell ref="AB221:AB222"/>
    <mergeCell ref="AC221:AC222"/>
    <mergeCell ref="AB219:AB220"/>
    <mergeCell ref="AC219:AC220"/>
    <mergeCell ref="AD219:AD220"/>
    <mergeCell ref="AG219:AG220"/>
    <mergeCell ref="E221:E222"/>
    <mergeCell ref="F221:F222"/>
    <mergeCell ref="G221:G222"/>
    <mergeCell ref="H221:H222"/>
    <mergeCell ref="I221:I222"/>
    <mergeCell ref="V219:V220"/>
    <mergeCell ref="W219:W220"/>
    <mergeCell ref="X219:X220"/>
    <mergeCell ref="Y219:Y220"/>
    <mergeCell ref="Z219:Z220"/>
    <mergeCell ref="AA219:AA220"/>
    <mergeCell ref="O219:O220"/>
    <mergeCell ref="P219:P220"/>
    <mergeCell ref="Q219:Q220"/>
    <mergeCell ref="R219:R220"/>
    <mergeCell ref="T219:T220"/>
    <mergeCell ref="U219:U220"/>
    <mergeCell ref="W223:W224"/>
    <mergeCell ref="X223:X224"/>
    <mergeCell ref="F219:F220"/>
    <mergeCell ref="G219:G220"/>
    <mergeCell ref="H219:H220"/>
    <mergeCell ref="I219:I220"/>
    <mergeCell ref="L219:L220"/>
    <mergeCell ref="O221:O222"/>
    <mergeCell ref="M221:M222"/>
    <mergeCell ref="N221:N222"/>
    <mergeCell ref="M223:M224"/>
    <mergeCell ref="N223:N224"/>
    <mergeCell ref="J219:J220"/>
    <mergeCell ref="K219:K220"/>
    <mergeCell ref="AE223:AE224"/>
    <mergeCell ref="AF223:AF224"/>
    <mergeCell ref="S223:S224"/>
    <mergeCell ref="T223:T224"/>
    <mergeCell ref="Q223:Q224"/>
    <mergeCell ref="R223:R224"/>
    <mergeCell ref="O223:O224"/>
    <mergeCell ref="P223:P224"/>
    <mergeCell ref="N225:N227"/>
    <mergeCell ref="O225:O227"/>
    <mergeCell ref="AG223:AG224"/>
    <mergeCell ref="A225:A229"/>
    <mergeCell ref="B225:B229"/>
    <mergeCell ref="C225:C229"/>
    <mergeCell ref="D225:D227"/>
    <mergeCell ref="E225:E227"/>
    <mergeCell ref="E223:E224"/>
    <mergeCell ref="F223:F224"/>
    <mergeCell ref="G223:G224"/>
    <mergeCell ref="H223:H224"/>
    <mergeCell ref="K228:K229"/>
    <mergeCell ref="L228:L229"/>
    <mergeCell ref="K223:K224"/>
    <mergeCell ref="L223:L224"/>
    <mergeCell ref="I223:I224"/>
    <mergeCell ref="J223:J224"/>
    <mergeCell ref="AA225:AA227"/>
    <mergeCell ref="AB225:AB227"/>
    <mergeCell ref="R225:R227"/>
    <mergeCell ref="T225:T227"/>
    <mergeCell ref="U225:U227"/>
    <mergeCell ref="V225:V227"/>
    <mergeCell ref="W225:W227"/>
    <mergeCell ref="X225:X227"/>
    <mergeCell ref="F228:F229"/>
    <mergeCell ref="G228:G229"/>
    <mergeCell ref="H228:H229"/>
    <mergeCell ref="I228:I229"/>
    <mergeCell ref="J228:J229"/>
    <mergeCell ref="AC225:AC227"/>
    <mergeCell ref="Y225:Y227"/>
    <mergeCell ref="Z225:Z227"/>
    <mergeCell ref="P225:P227"/>
    <mergeCell ref="Q225:Q227"/>
    <mergeCell ref="AF225:AF227"/>
    <mergeCell ref="AG225:AG227"/>
    <mergeCell ref="AD225:AD227"/>
    <mergeCell ref="O230:O232"/>
    <mergeCell ref="A230:A236"/>
    <mergeCell ref="B230:B236"/>
    <mergeCell ref="C230:C236"/>
    <mergeCell ref="D230:D232"/>
    <mergeCell ref="F225:F227"/>
    <mergeCell ref="G225:G227"/>
    <mergeCell ref="L225:L227"/>
    <mergeCell ref="M225:M227"/>
    <mergeCell ref="E228:E229"/>
    <mergeCell ref="AA228:AA229"/>
    <mergeCell ref="E230:E232"/>
    <mergeCell ref="F230:F232"/>
    <mergeCell ref="G230:G232"/>
    <mergeCell ref="W228:W229"/>
    <mergeCell ref="H230:H232"/>
    <mergeCell ref="I230:I232"/>
    <mergeCell ref="J230:J232"/>
    <mergeCell ref="M230:M232"/>
    <mergeCell ref="N230:N232"/>
    <mergeCell ref="M228:M229"/>
    <mergeCell ref="N228:N229"/>
    <mergeCell ref="O228:O229"/>
    <mergeCell ref="P228:P229"/>
    <mergeCell ref="Q228:Q229"/>
    <mergeCell ref="R228:R229"/>
    <mergeCell ref="AC228:AC229"/>
    <mergeCell ref="AD228:AD229"/>
    <mergeCell ref="S228:S229"/>
    <mergeCell ref="T228:T229"/>
    <mergeCell ref="U228:U229"/>
    <mergeCell ref="V228:V229"/>
    <mergeCell ref="AB228:AB229"/>
    <mergeCell ref="X228:X229"/>
    <mergeCell ref="Y228:Y229"/>
    <mergeCell ref="Z228:Z229"/>
    <mergeCell ref="AC223:AC224"/>
    <mergeCell ref="AD223:AD224"/>
    <mergeCell ref="Y223:Y224"/>
    <mergeCell ref="Z223:Z224"/>
    <mergeCell ref="AA223:AA224"/>
    <mergeCell ref="AB223:AB224"/>
    <mergeCell ref="U223:U224"/>
    <mergeCell ref="V223:V224"/>
    <mergeCell ref="K233:K234"/>
    <mergeCell ref="L233:L234"/>
    <mergeCell ref="P230:P232"/>
    <mergeCell ref="Q230:Q232"/>
    <mergeCell ref="R230:R232"/>
    <mergeCell ref="T230:T232"/>
    <mergeCell ref="K230:K232"/>
    <mergeCell ref="L230:L232"/>
    <mergeCell ref="AF240:AF241"/>
    <mergeCell ref="AG240:AG241"/>
    <mergeCell ref="H225:H227"/>
    <mergeCell ref="I225:I227"/>
    <mergeCell ref="J225:J227"/>
    <mergeCell ref="K225:K227"/>
    <mergeCell ref="AA230:AA232"/>
    <mergeCell ref="AB230:AB232"/>
    <mergeCell ref="AC230:AC232"/>
    <mergeCell ref="AD230:AD232"/>
    <mergeCell ref="AF233:AF234"/>
    <mergeCell ref="AG233:AG234"/>
    <mergeCell ref="AF230:AF232"/>
    <mergeCell ref="AG230:AG232"/>
    <mergeCell ref="U230:U232"/>
    <mergeCell ref="V230:V232"/>
    <mergeCell ref="W230:W232"/>
    <mergeCell ref="X230:X232"/>
    <mergeCell ref="Y230:Y232"/>
    <mergeCell ref="Z230:Z232"/>
    <mergeCell ref="R240:R241"/>
    <mergeCell ref="S240:S241"/>
    <mergeCell ref="AE228:AE229"/>
    <mergeCell ref="AF228:AF229"/>
    <mergeCell ref="AG228:AG229"/>
    <mergeCell ref="AD235:AD236"/>
    <mergeCell ref="AE235:AE236"/>
    <mergeCell ref="AF235:AF236"/>
    <mergeCell ref="AG235:AG236"/>
    <mergeCell ref="AE233:AE234"/>
    <mergeCell ref="R235:R236"/>
    <mergeCell ref="S235:S236"/>
    <mergeCell ref="A237:A241"/>
    <mergeCell ref="B237:B241"/>
    <mergeCell ref="AB245:AB246"/>
    <mergeCell ref="AC245:AC246"/>
    <mergeCell ref="C237:C241"/>
    <mergeCell ref="D237:D239"/>
    <mergeCell ref="E237:E239"/>
    <mergeCell ref="F237:F239"/>
    <mergeCell ref="AC233:AC234"/>
    <mergeCell ref="AD233:AD234"/>
    <mergeCell ref="T235:T236"/>
    <mergeCell ref="U235:U236"/>
    <mergeCell ref="Z235:Z236"/>
    <mergeCell ref="AA235:AA236"/>
    <mergeCell ref="AB235:AB236"/>
    <mergeCell ref="AC235:AC236"/>
    <mergeCell ref="V235:V236"/>
    <mergeCell ref="W235:W236"/>
    <mergeCell ref="E235:E236"/>
    <mergeCell ref="F235:F236"/>
    <mergeCell ref="G235:G236"/>
    <mergeCell ref="H235:H236"/>
    <mergeCell ref="N235:N236"/>
    <mergeCell ref="O235:O236"/>
    <mergeCell ref="J235:J236"/>
    <mergeCell ref="K235:K236"/>
    <mergeCell ref="L235:L236"/>
    <mergeCell ref="M235:M236"/>
    <mergeCell ref="I235:I236"/>
    <mergeCell ref="W233:W234"/>
    <mergeCell ref="X233:X234"/>
    <mergeCell ref="Y233:Y234"/>
    <mergeCell ref="I233:I234"/>
    <mergeCell ref="J233:J234"/>
    <mergeCell ref="X235:X236"/>
    <mergeCell ref="Y235:Y236"/>
    <mergeCell ref="P235:P236"/>
    <mergeCell ref="Q235:Q236"/>
    <mergeCell ref="AB233:AB234"/>
    <mergeCell ref="Q233:Q234"/>
    <mergeCell ref="R233:R234"/>
    <mergeCell ref="S233:S234"/>
    <mergeCell ref="T233:T234"/>
    <mergeCell ref="U233:U234"/>
    <mergeCell ref="V233:V234"/>
    <mergeCell ref="Z233:Z234"/>
    <mergeCell ref="AA233:AA234"/>
    <mergeCell ref="Z240:Z241"/>
    <mergeCell ref="AA240:AA241"/>
    <mergeCell ref="E233:E234"/>
    <mergeCell ref="F233:F234"/>
    <mergeCell ref="G233:G234"/>
    <mergeCell ref="H233:H234"/>
    <mergeCell ref="M233:M234"/>
    <mergeCell ref="N233:N234"/>
    <mergeCell ref="O233:O234"/>
    <mergeCell ref="P233:P234"/>
    <mergeCell ref="T240:T241"/>
    <mergeCell ref="U240:U241"/>
    <mergeCell ref="V240:V241"/>
    <mergeCell ref="W240:W241"/>
    <mergeCell ref="X240:X241"/>
    <mergeCell ref="Y240:Y241"/>
    <mergeCell ref="AG237:AG239"/>
    <mergeCell ref="E240:E241"/>
    <mergeCell ref="F240:F241"/>
    <mergeCell ref="G240:G241"/>
    <mergeCell ref="H240:H241"/>
    <mergeCell ref="I240:I241"/>
    <mergeCell ref="J240:J241"/>
    <mergeCell ref="K240:K241"/>
    <mergeCell ref="L240:L241"/>
    <mergeCell ref="M240:M241"/>
    <mergeCell ref="T237:T239"/>
    <mergeCell ref="U237:U239"/>
    <mergeCell ref="V237:V239"/>
    <mergeCell ref="W237:W239"/>
    <mergeCell ref="X237:X239"/>
    <mergeCell ref="Y237:Y239"/>
    <mergeCell ref="AD237:AD239"/>
    <mergeCell ref="AF237:AF239"/>
    <mergeCell ref="Q237:Q239"/>
    <mergeCell ref="R237:R239"/>
    <mergeCell ref="O237:O239"/>
    <mergeCell ref="P237:P239"/>
    <mergeCell ref="AB237:AB239"/>
    <mergeCell ref="AC237:AC239"/>
    <mergeCell ref="Z237:Z239"/>
    <mergeCell ref="AA237:AA239"/>
    <mergeCell ref="G245:G246"/>
    <mergeCell ref="H245:H246"/>
    <mergeCell ref="K237:K239"/>
    <mergeCell ref="L237:L239"/>
    <mergeCell ref="M237:M239"/>
    <mergeCell ref="N237:N239"/>
    <mergeCell ref="G237:G239"/>
    <mergeCell ref="H237:H239"/>
    <mergeCell ref="I237:I239"/>
    <mergeCell ref="J237:J239"/>
    <mergeCell ref="I245:I246"/>
    <mergeCell ref="I242:I244"/>
    <mergeCell ref="J242:J244"/>
    <mergeCell ref="K242:K244"/>
    <mergeCell ref="J245:J246"/>
    <mergeCell ref="K245:K246"/>
    <mergeCell ref="L242:L244"/>
    <mergeCell ref="Q242:Q244"/>
    <mergeCell ref="R242:R244"/>
    <mergeCell ref="O242:O244"/>
    <mergeCell ref="P242:P244"/>
    <mergeCell ref="M242:M244"/>
    <mergeCell ref="N242:N244"/>
    <mergeCell ref="E242:E244"/>
    <mergeCell ref="F242:F244"/>
    <mergeCell ref="G242:G244"/>
    <mergeCell ref="H242:H244"/>
    <mergeCell ref="A242:A252"/>
    <mergeCell ref="B242:B252"/>
    <mergeCell ref="C242:C252"/>
    <mergeCell ref="D242:D244"/>
    <mergeCell ref="E245:E246"/>
    <mergeCell ref="F245:F246"/>
    <mergeCell ref="AF245:AF246"/>
    <mergeCell ref="AG245:AG246"/>
    <mergeCell ref="AB240:AB241"/>
    <mergeCell ref="AC240:AC241"/>
    <mergeCell ref="N240:N241"/>
    <mergeCell ref="O240:O241"/>
    <mergeCell ref="P240:P241"/>
    <mergeCell ref="Q240:Q241"/>
    <mergeCell ref="AD240:AD241"/>
    <mergeCell ref="AE240:AE241"/>
    <mergeCell ref="O247:O248"/>
    <mergeCell ref="P247:P248"/>
    <mergeCell ref="U247:U248"/>
    <mergeCell ref="V247:V248"/>
    <mergeCell ref="AD245:AD246"/>
    <mergeCell ref="AE245:AE246"/>
    <mergeCell ref="AG247:AG248"/>
    <mergeCell ref="X247:X248"/>
    <mergeCell ref="T245:T246"/>
    <mergeCell ref="U245:U246"/>
    <mergeCell ref="V245:V246"/>
    <mergeCell ref="W245:W246"/>
    <mergeCell ref="X245:X246"/>
    <mergeCell ref="Y245:Y246"/>
    <mergeCell ref="AF247:AF248"/>
    <mergeCell ref="AA247:AA248"/>
    <mergeCell ref="L245:L246"/>
    <mergeCell ref="M245:M246"/>
    <mergeCell ref="Z245:Z246"/>
    <mergeCell ref="AA245:AA246"/>
    <mergeCell ref="P245:P246"/>
    <mergeCell ref="Q245:Q246"/>
    <mergeCell ref="R245:R246"/>
    <mergeCell ref="S245:S246"/>
    <mergeCell ref="AA242:AA244"/>
    <mergeCell ref="V242:V244"/>
    <mergeCell ref="W242:W244"/>
    <mergeCell ref="N245:N246"/>
    <mergeCell ref="O245:O246"/>
    <mergeCell ref="T242:T244"/>
    <mergeCell ref="U242:U244"/>
    <mergeCell ref="AF242:AF244"/>
    <mergeCell ref="AG242:AG244"/>
    <mergeCell ref="AB249:AB250"/>
    <mergeCell ref="AC249:AC250"/>
    <mergeCell ref="AD249:AD250"/>
    <mergeCell ref="AE249:AE250"/>
    <mergeCell ref="AC247:AC248"/>
    <mergeCell ref="AD247:AD248"/>
    <mergeCell ref="AE247:AE248"/>
    <mergeCell ref="AB242:AB244"/>
    <mergeCell ref="AC253:AC254"/>
    <mergeCell ref="AD253:AD254"/>
    <mergeCell ref="R253:R254"/>
    <mergeCell ref="T253:T254"/>
    <mergeCell ref="AB253:AB254"/>
    <mergeCell ref="AD242:AD244"/>
    <mergeCell ref="AC242:AC244"/>
    <mergeCell ref="X242:X244"/>
    <mergeCell ref="Y242:Y244"/>
    <mergeCell ref="Z242:Z244"/>
    <mergeCell ref="AF249:AF250"/>
    <mergeCell ref="AG249:AG250"/>
    <mergeCell ref="V249:V250"/>
    <mergeCell ref="W249:W250"/>
    <mergeCell ref="X249:X250"/>
    <mergeCell ref="Y249:Y250"/>
    <mergeCell ref="Z249:Z250"/>
    <mergeCell ref="AA249:AA250"/>
    <mergeCell ref="P249:P250"/>
    <mergeCell ref="Q249:Q250"/>
    <mergeCell ref="Y247:Y248"/>
    <mergeCell ref="Z247:Z248"/>
    <mergeCell ref="L249:L250"/>
    <mergeCell ref="M249:M250"/>
    <mergeCell ref="N249:N250"/>
    <mergeCell ref="O249:O250"/>
    <mergeCell ref="R249:R250"/>
    <mergeCell ref="S249:S250"/>
    <mergeCell ref="K249:K250"/>
    <mergeCell ref="K247:K248"/>
    <mergeCell ref="L247:L248"/>
    <mergeCell ref="M247:M248"/>
    <mergeCell ref="N247:N248"/>
    <mergeCell ref="E249:E250"/>
    <mergeCell ref="F249:F250"/>
    <mergeCell ref="G249:G250"/>
    <mergeCell ref="H249:H250"/>
    <mergeCell ref="AB247:AB248"/>
    <mergeCell ref="Q247:Q248"/>
    <mergeCell ref="R247:R248"/>
    <mergeCell ref="S247:S248"/>
    <mergeCell ref="T247:T248"/>
    <mergeCell ref="I249:I250"/>
    <mergeCell ref="W247:W248"/>
    <mergeCell ref="T249:T250"/>
    <mergeCell ref="U249:U250"/>
    <mergeCell ref="J249:J250"/>
    <mergeCell ref="F251:F252"/>
    <mergeCell ref="G251:G252"/>
    <mergeCell ref="E247:E248"/>
    <mergeCell ref="F247:F248"/>
    <mergeCell ref="G247:G248"/>
    <mergeCell ref="H247:H248"/>
    <mergeCell ref="M251:M252"/>
    <mergeCell ref="N251:N252"/>
    <mergeCell ref="I247:I248"/>
    <mergeCell ref="J247:J248"/>
    <mergeCell ref="A253:A266"/>
    <mergeCell ref="B253:B266"/>
    <mergeCell ref="C253:C266"/>
    <mergeCell ref="D253:D254"/>
    <mergeCell ref="E253:E254"/>
    <mergeCell ref="E251:E252"/>
    <mergeCell ref="K255:K256"/>
    <mergeCell ref="L255:L256"/>
    <mergeCell ref="O251:O252"/>
    <mergeCell ref="P251:P252"/>
    <mergeCell ref="S251:S252"/>
    <mergeCell ref="T251:T252"/>
    <mergeCell ref="Q251:Q252"/>
    <mergeCell ref="R251:R252"/>
    <mergeCell ref="K251:K252"/>
    <mergeCell ref="L251:L252"/>
    <mergeCell ref="H251:H252"/>
    <mergeCell ref="I251:I252"/>
    <mergeCell ref="J251:J252"/>
    <mergeCell ref="AA253:AA254"/>
    <mergeCell ref="W253:W254"/>
    <mergeCell ref="X253:X254"/>
    <mergeCell ref="Y253:Y254"/>
    <mergeCell ref="Z253:Z254"/>
    <mergeCell ref="N253:N254"/>
    <mergeCell ref="O253:O254"/>
    <mergeCell ref="E255:E256"/>
    <mergeCell ref="F255:F256"/>
    <mergeCell ref="G255:G256"/>
    <mergeCell ref="H255:H256"/>
    <mergeCell ref="I255:I256"/>
    <mergeCell ref="J255:J256"/>
    <mergeCell ref="F253:F254"/>
    <mergeCell ref="G253:G254"/>
    <mergeCell ref="L253:L254"/>
    <mergeCell ref="M253:M254"/>
    <mergeCell ref="AF253:AF254"/>
    <mergeCell ref="AG253:AG254"/>
    <mergeCell ref="U253:U254"/>
    <mergeCell ref="V253:V254"/>
    <mergeCell ref="P253:P254"/>
    <mergeCell ref="Q253:Q254"/>
    <mergeCell ref="AF255:AF256"/>
    <mergeCell ref="AG255:AG256"/>
    <mergeCell ref="E257:E258"/>
    <mergeCell ref="F257:F258"/>
    <mergeCell ref="G257:G258"/>
    <mergeCell ref="H257:H258"/>
    <mergeCell ref="I257:I258"/>
    <mergeCell ref="J257:J258"/>
    <mergeCell ref="K257:K258"/>
    <mergeCell ref="W255:W256"/>
    <mergeCell ref="M255:M256"/>
    <mergeCell ref="N255:N256"/>
    <mergeCell ref="O255:O256"/>
    <mergeCell ref="P255:P256"/>
    <mergeCell ref="X255:X256"/>
    <mergeCell ref="Y255:Y256"/>
    <mergeCell ref="AC255:AC256"/>
    <mergeCell ref="AD255:AD256"/>
    <mergeCell ref="S255:S256"/>
    <mergeCell ref="T255:T256"/>
    <mergeCell ref="U255:U256"/>
    <mergeCell ref="V255:V256"/>
    <mergeCell ref="AB255:AB256"/>
    <mergeCell ref="Z255:Z256"/>
    <mergeCell ref="AA255:AA256"/>
    <mergeCell ref="Z251:Z252"/>
    <mergeCell ref="AA251:AA252"/>
    <mergeCell ref="AB251:AB252"/>
    <mergeCell ref="W251:W252"/>
    <mergeCell ref="X251:X252"/>
    <mergeCell ref="Q255:Q256"/>
    <mergeCell ref="R255:R256"/>
    <mergeCell ref="U251:U252"/>
    <mergeCell ref="V251:V252"/>
    <mergeCell ref="AE251:AE252"/>
    <mergeCell ref="AF251:AF252"/>
    <mergeCell ref="AG251:AG252"/>
    <mergeCell ref="H253:H254"/>
    <mergeCell ref="I253:I254"/>
    <mergeCell ref="J253:J254"/>
    <mergeCell ref="K253:K254"/>
    <mergeCell ref="AC251:AC252"/>
    <mergeCell ref="AD251:AD252"/>
    <mergeCell ref="Y251:Y252"/>
    <mergeCell ref="AC257:AC258"/>
    <mergeCell ref="I259:I260"/>
    <mergeCell ref="J259:J260"/>
    <mergeCell ref="E259:E260"/>
    <mergeCell ref="F259:F260"/>
    <mergeCell ref="G259:G260"/>
    <mergeCell ref="H259:H260"/>
    <mergeCell ref="L257:L258"/>
    <mergeCell ref="M257:M258"/>
    <mergeCell ref="X257:X258"/>
    <mergeCell ref="Y257:Y258"/>
    <mergeCell ref="Z257:Z258"/>
    <mergeCell ref="AA257:AA258"/>
    <mergeCell ref="K259:K260"/>
    <mergeCell ref="L259:L260"/>
    <mergeCell ref="V257:V258"/>
    <mergeCell ref="W257:W258"/>
    <mergeCell ref="N257:N258"/>
    <mergeCell ref="O257:O258"/>
    <mergeCell ref="P257:P258"/>
    <mergeCell ref="Q257:Q258"/>
    <mergeCell ref="R257:R258"/>
    <mergeCell ref="S257:S258"/>
    <mergeCell ref="AE261:AE262"/>
    <mergeCell ref="T257:T258"/>
    <mergeCell ref="U257:U258"/>
    <mergeCell ref="AE255:AE256"/>
    <mergeCell ref="AC259:AC260"/>
    <mergeCell ref="AD259:AD260"/>
    <mergeCell ref="AE259:AE260"/>
    <mergeCell ref="AD257:AD258"/>
    <mergeCell ref="AE257:AE258"/>
    <mergeCell ref="AB257:AB258"/>
    <mergeCell ref="W259:W260"/>
    <mergeCell ref="X259:X260"/>
    <mergeCell ref="Y259:Y260"/>
    <mergeCell ref="Z259:Z260"/>
    <mergeCell ref="AF259:AF260"/>
    <mergeCell ref="T261:T262"/>
    <mergeCell ref="U261:U262"/>
    <mergeCell ref="Z261:Z262"/>
    <mergeCell ref="AA261:AA262"/>
    <mergeCell ref="AB261:AB262"/>
    <mergeCell ref="S259:S260"/>
    <mergeCell ref="T259:T260"/>
    <mergeCell ref="U259:U260"/>
    <mergeCell ref="V259:V260"/>
    <mergeCell ref="AG259:AG260"/>
    <mergeCell ref="E261:E262"/>
    <mergeCell ref="F261:F262"/>
    <mergeCell ref="G261:G262"/>
    <mergeCell ref="H261:H262"/>
    <mergeCell ref="I261:I262"/>
    <mergeCell ref="AF257:AF258"/>
    <mergeCell ref="AG257:AG258"/>
    <mergeCell ref="O259:O260"/>
    <mergeCell ref="P259:P260"/>
    <mergeCell ref="M259:M260"/>
    <mergeCell ref="N259:N260"/>
    <mergeCell ref="AA259:AA260"/>
    <mergeCell ref="AB259:AB260"/>
    <mergeCell ref="Q259:Q260"/>
    <mergeCell ref="R259:R260"/>
    <mergeCell ref="AE263:AE264"/>
    <mergeCell ref="AF263:AF264"/>
    <mergeCell ref="U263:U264"/>
    <mergeCell ref="V263:V264"/>
    <mergeCell ref="Y263:Y264"/>
    <mergeCell ref="Z263:Z264"/>
    <mergeCell ref="AC263:AC264"/>
    <mergeCell ref="AD263:AD264"/>
    <mergeCell ref="O263:O264"/>
    <mergeCell ref="P263:P264"/>
    <mergeCell ref="AG263:AG264"/>
    <mergeCell ref="E265:E266"/>
    <mergeCell ref="F265:F266"/>
    <mergeCell ref="G265:G266"/>
    <mergeCell ref="H265:H266"/>
    <mergeCell ref="I265:I266"/>
    <mergeCell ref="W263:W264"/>
    <mergeCell ref="X263:X264"/>
    <mergeCell ref="AA263:AA264"/>
    <mergeCell ref="AB263:AB264"/>
    <mergeCell ref="Q263:Q264"/>
    <mergeCell ref="R263:R264"/>
    <mergeCell ref="S263:S264"/>
    <mergeCell ref="T263:T264"/>
    <mergeCell ref="E263:E264"/>
    <mergeCell ref="F263:F264"/>
    <mergeCell ref="G263:G264"/>
    <mergeCell ref="H263:H264"/>
    <mergeCell ref="M263:M264"/>
    <mergeCell ref="N263:N264"/>
    <mergeCell ref="K263:K264"/>
    <mergeCell ref="L263:L264"/>
    <mergeCell ref="I263:I264"/>
    <mergeCell ref="J263:J264"/>
    <mergeCell ref="P261:P262"/>
    <mergeCell ref="Q261:Q262"/>
    <mergeCell ref="J261:J262"/>
    <mergeCell ref="K261:K262"/>
    <mergeCell ref="L261:L262"/>
    <mergeCell ref="M261:M262"/>
    <mergeCell ref="N261:N262"/>
    <mergeCell ref="O261:O262"/>
    <mergeCell ref="R261:R262"/>
    <mergeCell ref="S261:S262"/>
    <mergeCell ref="AF261:AF262"/>
    <mergeCell ref="AG261:AG262"/>
    <mergeCell ref="V261:V262"/>
    <mergeCell ref="W261:W262"/>
    <mergeCell ref="X261:X262"/>
    <mergeCell ref="Y261:Y262"/>
    <mergeCell ref="AC261:AC262"/>
    <mergeCell ref="AD261:AD262"/>
    <mergeCell ref="M267:M269"/>
    <mergeCell ref="N267:N269"/>
    <mergeCell ref="G267:G269"/>
    <mergeCell ref="H267:H269"/>
    <mergeCell ref="I267:I269"/>
    <mergeCell ref="J267:J269"/>
    <mergeCell ref="V265:V266"/>
    <mergeCell ref="W265:W266"/>
    <mergeCell ref="X265:X266"/>
    <mergeCell ref="Y265:Y266"/>
    <mergeCell ref="Z265:Z266"/>
    <mergeCell ref="AA265:AA266"/>
    <mergeCell ref="AF265:AF266"/>
    <mergeCell ref="AG265:AG266"/>
    <mergeCell ref="T265:T266"/>
    <mergeCell ref="U265:U266"/>
    <mergeCell ref="R265:R266"/>
    <mergeCell ref="S265:S266"/>
    <mergeCell ref="AD265:AD266"/>
    <mergeCell ref="AE265:AE266"/>
    <mergeCell ref="AB265:AB266"/>
    <mergeCell ref="AC265:AC266"/>
    <mergeCell ref="P265:P266"/>
    <mergeCell ref="Q265:Q266"/>
    <mergeCell ref="J265:J266"/>
    <mergeCell ref="K265:K266"/>
    <mergeCell ref="L265:L266"/>
    <mergeCell ref="M265:M266"/>
    <mergeCell ref="A267:A275"/>
    <mergeCell ref="B267:B275"/>
    <mergeCell ref="C267:C275"/>
    <mergeCell ref="D267:D269"/>
    <mergeCell ref="N265:N266"/>
    <mergeCell ref="O265:O266"/>
    <mergeCell ref="E267:E269"/>
    <mergeCell ref="F267:F269"/>
    <mergeCell ref="K267:K269"/>
    <mergeCell ref="L267:L269"/>
    <mergeCell ref="E278:E279"/>
    <mergeCell ref="F278:F279"/>
    <mergeCell ref="G278:G279"/>
    <mergeCell ref="H278:H279"/>
    <mergeCell ref="I278:I279"/>
    <mergeCell ref="J278:J279"/>
    <mergeCell ref="AF270:AF271"/>
    <mergeCell ref="AG270:AG271"/>
    <mergeCell ref="Q272:Q273"/>
    <mergeCell ref="R272:R273"/>
    <mergeCell ref="U272:U273"/>
    <mergeCell ref="V272:V273"/>
    <mergeCell ref="S272:S273"/>
    <mergeCell ref="T272:T273"/>
    <mergeCell ref="E272:E273"/>
    <mergeCell ref="F272:F273"/>
    <mergeCell ref="G272:G273"/>
    <mergeCell ref="H272:H273"/>
    <mergeCell ref="AB270:AB271"/>
    <mergeCell ref="AC270:AC271"/>
    <mergeCell ref="N270:N271"/>
    <mergeCell ref="O270:O271"/>
    <mergeCell ref="K272:K273"/>
    <mergeCell ref="L272:L273"/>
    <mergeCell ref="AD270:AD271"/>
    <mergeCell ref="AE270:AE271"/>
    <mergeCell ref="T270:T271"/>
    <mergeCell ref="U270:U271"/>
    <mergeCell ref="V270:V271"/>
    <mergeCell ref="W270:W271"/>
    <mergeCell ref="X270:X271"/>
    <mergeCell ref="Y270:Y271"/>
    <mergeCell ref="Z270:Z271"/>
    <mergeCell ref="AA270:AA271"/>
    <mergeCell ref="R270:R271"/>
    <mergeCell ref="S270:S271"/>
    <mergeCell ref="I272:I273"/>
    <mergeCell ref="J272:J273"/>
    <mergeCell ref="AG267:AG269"/>
    <mergeCell ref="E270:E271"/>
    <mergeCell ref="F270:F271"/>
    <mergeCell ref="G270:G271"/>
    <mergeCell ref="H270:H271"/>
    <mergeCell ref="I270:I271"/>
    <mergeCell ref="J270:J271"/>
    <mergeCell ref="K270:K271"/>
    <mergeCell ref="L270:L271"/>
    <mergeCell ref="M270:M271"/>
    <mergeCell ref="AB267:AB269"/>
    <mergeCell ref="AC267:AC269"/>
    <mergeCell ref="Z267:Z269"/>
    <mergeCell ref="AA267:AA269"/>
    <mergeCell ref="T267:T269"/>
    <mergeCell ref="U267:U269"/>
    <mergeCell ref="V267:V269"/>
    <mergeCell ref="W267:W269"/>
    <mergeCell ref="X267:X269"/>
    <mergeCell ref="Y267:Y269"/>
    <mergeCell ref="L274:L275"/>
    <mergeCell ref="M274:M275"/>
    <mergeCell ref="N274:N275"/>
    <mergeCell ref="O274:O275"/>
    <mergeCell ref="AD267:AD269"/>
    <mergeCell ref="AF267:AF269"/>
    <mergeCell ref="Q267:Q269"/>
    <mergeCell ref="R267:R269"/>
    <mergeCell ref="O267:O269"/>
    <mergeCell ref="P267:P269"/>
    <mergeCell ref="T274:T275"/>
    <mergeCell ref="Y272:Y273"/>
    <mergeCell ref="Z272:Z273"/>
    <mergeCell ref="P274:P275"/>
    <mergeCell ref="Q274:Q275"/>
    <mergeCell ref="W272:W273"/>
    <mergeCell ref="X272:X273"/>
    <mergeCell ref="W274:W275"/>
    <mergeCell ref="AE272:AE273"/>
    <mergeCell ref="AF272:AF273"/>
    <mergeCell ref="AA272:AA273"/>
    <mergeCell ref="AB272:AB273"/>
    <mergeCell ref="AC272:AC273"/>
    <mergeCell ref="AD272:AD273"/>
    <mergeCell ref="AG272:AG273"/>
    <mergeCell ref="E274:E275"/>
    <mergeCell ref="F274:F275"/>
    <mergeCell ref="G274:G275"/>
    <mergeCell ref="H274:H275"/>
    <mergeCell ref="I274:I275"/>
    <mergeCell ref="J274:J275"/>
    <mergeCell ref="K274:K275"/>
    <mergeCell ref="AD274:AD275"/>
    <mergeCell ref="AE274:AE275"/>
    <mergeCell ref="P270:P271"/>
    <mergeCell ref="Q270:Q271"/>
    <mergeCell ref="M272:M273"/>
    <mergeCell ref="N272:N273"/>
    <mergeCell ref="O272:O273"/>
    <mergeCell ref="P272:P273"/>
    <mergeCell ref="AG276:AG277"/>
    <mergeCell ref="AF276:AF277"/>
    <mergeCell ref="AC278:AC279"/>
    <mergeCell ref="AD278:AD279"/>
    <mergeCell ref="AE278:AE279"/>
    <mergeCell ref="U278:U279"/>
    <mergeCell ref="V278:V279"/>
    <mergeCell ref="AF278:AF279"/>
    <mergeCell ref="AG278:AG279"/>
    <mergeCell ref="P276:P277"/>
    <mergeCell ref="AB276:AB277"/>
    <mergeCell ref="AC276:AC277"/>
    <mergeCell ref="AD276:AD277"/>
    <mergeCell ref="Y276:Y277"/>
    <mergeCell ref="R278:R279"/>
    <mergeCell ref="S278:S279"/>
    <mergeCell ref="L276:L277"/>
    <mergeCell ref="M276:M277"/>
    <mergeCell ref="L278:L279"/>
    <mergeCell ref="M278:M279"/>
    <mergeCell ref="Z276:Z277"/>
    <mergeCell ref="AA276:AA277"/>
    <mergeCell ref="T276:T277"/>
    <mergeCell ref="N276:N277"/>
    <mergeCell ref="O276:O277"/>
    <mergeCell ref="Z278:Z279"/>
    <mergeCell ref="Z274:Z275"/>
    <mergeCell ref="AF274:AF275"/>
    <mergeCell ref="AG274:AG275"/>
    <mergeCell ref="Q276:Q277"/>
    <mergeCell ref="R276:R277"/>
    <mergeCell ref="U276:U277"/>
    <mergeCell ref="V276:V277"/>
    <mergeCell ref="W276:W277"/>
    <mergeCell ref="X276:X277"/>
    <mergeCell ref="U274:U275"/>
    <mergeCell ref="X274:X275"/>
    <mergeCell ref="Y274:Y275"/>
    <mergeCell ref="R274:R275"/>
    <mergeCell ref="S274:S275"/>
    <mergeCell ref="G276:G277"/>
    <mergeCell ref="H276:H277"/>
    <mergeCell ref="I276:I277"/>
    <mergeCell ref="V274:V275"/>
    <mergeCell ref="J276:J277"/>
    <mergeCell ref="K276:K277"/>
    <mergeCell ref="AA280:AA281"/>
    <mergeCell ref="AB280:AB281"/>
    <mergeCell ref="AE280:AE281"/>
    <mergeCell ref="AF280:AF281"/>
    <mergeCell ref="AA274:AA275"/>
    <mergeCell ref="AB274:AB275"/>
    <mergeCell ref="AC274:AC275"/>
    <mergeCell ref="AA278:AA279"/>
    <mergeCell ref="AB282:AB283"/>
    <mergeCell ref="AC282:AC283"/>
    <mergeCell ref="AG280:AG281"/>
    <mergeCell ref="E282:E283"/>
    <mergeCell ref="F282:F283"/>
    <mergeCell ref="G282:G283"/>
    <mergeCell ref="H282:H283"/>
    <mergeCell ref="I282:I283"/>
    <mergeCell ref="U280:U281"/>
    <mergeCell ref="V280:V281"/>
    <mergeCell ref="AF286:AF287"/>
    <mergeCell ref="AG286:AG287"/>
    <mergeCell ref="AC280:AC281"/>
    <mergeCell ref="AD280:AD281"/>
    <mergeCell ref="AD282:AD283"/>
    <mergeCell ref="AE282:AE283"/>
    <mergeCell ref="M280:M281"/>
    <mergeCell ref="N280:N281"/>
    <mergeCell ref="O280:O281"/>
    <mergeCell ref="P280:P281"/>
    <mergeCell ref="Y280:Y281"/>
    <mergeCell ref="Z280:Z281"/>
    <mergeCell ref="W280:W281"/>
    <mergeCell ref="X280:X281"/>
    <mergeCell ref="S280:S281"/>
    <mergeCell ref="T280:T281"/>
    <mergeCell ref="G280:G281"/>
    <mergeCell ref="H280:H281"/>
    <mergeCell ref="I280:I281"/>
    <mergeCell ref="J280:J281"/>
    <mergeCell ref="Q280:Q281"/>
    <mergeCell ref="R280:R281"/>
    <mergeCell ref="K280:K281"/>
    <mergeCell ref="L280:L281"/>
    <mergeCell ref="Q278:Q279"/>
    <mergeCell ref="AB278:AB279"/>
    <mergeCell ref="W278:W279"/>
    <mergeCell ref="X278:X279"/>
    <mergeCell ref="Y278:Y279"/>
    <mergeCell ref="K278:K279"/>
    <mergeCell ref="N278:N279"/>
    <mergeCell ref="O278:O279"/>
    <mergeCell ref="P278:P279"/>
    <mergeCell ref="T278:T279"/>
    <mergeCell ref="Q284:Q285"/>
    <mergeCell ref="R284:R285"/>
    <mergeCell ref="AD284:AD285"/>
    <mergeCell ref="R286:R287"/>
    <mergeCell ref="S286:S287"/>
    <mergeCell ref="Z286:Z287"/>
    <mergeCell ref="AA286:AA287"/>
    <mergeCell ref="AB286:AB287"/>
    <mergeCell ref="AC286:AC287"/>
    <mergeCell ref="AB284:AB285"/>
    <mergeCell ref="AF282:AF283"/>
    <mergeCell ref="AG282:AG283"/>
    <mergeCell ref="A284:A287"/>
    <mergeCell ref="B284:B287"/>
    <mergeCell ref="C284:C287"/>
    <mergeCell ref="D284:D285"/>
    <mergeCell ref="E284:E285"/>
    <mergeCell ref="F284:F285"/>
    <mergeCell ref="R282:R283"/>
    <mergeCell ref="S282:S283"/>
    <mergeCell ref="T282:T283"/>
    <mergeCell ref="U282:U283"/>
    <mergeCell ref="Z282:Z283"/>
    <mergeCell ref="AA282:AA283"/>
    <mergeCell ref="X282:X283"/>
    <mergeCell ref="Y282:Y283"/>
    <mergeCell ref="J282:J283"/>
    <mergeCell ref="K282:K283"/>
    <mergeCell ref="V282:V283"/>
    <mergeCell ref="W282:W283"/>
    <mergeCell ref="L282:L283"/>
    <mergeCell ref="M282:M283"/>
    <mergeCell ref="N282:N283"/>
    <mergeCell ref="O282:O283"/>
    <mergeCell ref="P282:P283"/>
    <mergeCell ref="Q282:Q283"/>
    <mergeCell ref="E294:E295"/>
    <mergeCell ref="F294:F295"/>
    <mergeCell ref="A276:A283"/>
    <mergeCell ref="B276:B283"/>
    <mergeCell ref="C276:C283"/>
    <mergeCell ref="D276:D277"/>
    <mergeCell ref="E276:E277"/>
    <mergeCell ref="F276:F277"/>
    <mergeCell ref="E280:E281"/>
    <mergeCell ref="F280:F281"/>
    <mergeCell ref="X286:X287"/>
    <mergeCell ref="Y286:Y287"/>
    <mergeCell ref="M288:M289"/>
    <mergeCell ref="N288:N289"/>
    <mergeCell ref="A288:A301"/>
    <mergeCell ref="B288:B301"/>
    <mergeCell ref="C288:C301"/>
    <mergeCell ref="D288:D289"/>
    <mergeCell ref="E288:E289"/>
    <mergeCell ref="L288:L289"/>
    <mergeCell ref="N286:N287"/>
    <mergeCell ref="O286:O287"/>
    <mergeCell ref="P286:P287"/>
    <mergeCell ref="Q286:Q287"/>
    <mergeCell ref="AD286:AD287"/>
    <mergeCell ref="AE286:AE287"/>
    <mergeCell ref="T286:T287"/>
    <mergeCell ref="U286:U287"/>
    <mergeCell ref="V286:V287"/>
    <mergeCell ref="W286:W287"/>
    <mergeCell ref="W284:W285"/>
    <mergeCell ref="X284:X285"/>
    <mergeCell ref="AG284:AG285"/>
    <mergeCell ref="E286:E287"/>
    <mergeCell ref="F286:F287"/>
    <mergeCell ref="G286:G287"/>
    <mergeCell ref="H286:H287"/>
    <mergeCell ref="I286:I287"/>
    <mergeCell ref="J286:J287"/>
    <mergeCell ref="K286:K287"/>
    <mergeCell ref="O284:O285"/>
    <mergeCell ref="P284:P285"/>
    <mergeCell ref="AF284:AF285"/>
    <mergeCell ref="L286:L287"/>
    <mergeCell ref="M286:M287"/>
    <mergeCell ref="Z284:Z285"/>
    <mergeCell ref="AA284:AA285"/>
    <mergeCell ref="T284:T285"/>
    <mergeCell ref="U284:U285"/>
    <mergeCell ref="V284:V285"/>
    <mergeCell ref="AC284:AC285"/>
    <mergeCell ref="Y284:Y285"/>
    <mergeCell ref="G284:G285"/>
    <mergeCell ref="H284:H285"/>
    <mergeCell ref="I284:I285"/>
    <mergeCell ref="J284:J285"/>
    <mergeCell ref="K284:K285"/>
    <mergeCell ref="L284:L285"/>
    <mergeCell ref="M284:M285"/>
    <mergeCell ref="N284:N285"/>
    <mergeCell ref="T288:T289"/>
    <mergeCell ref="AD290:AD291"/>
    <mergeCell ref="AE290:AE291"/>
    <mergeCell ref="AB288:AB289"/>
    <mergeCell ref="AC288:AC289"/>
    <mergeCell ref="AD288:AD289"/>
    <mergeCell ref="Y288:Y289"/>
    <mergeCell ref="AF288:AF289"/>
    <mergeCell ref="T290:T291"/>
    <mergeCell ref="U290:U291"/>
    <mergeCell ref="Z290:Z291"/>
    <mergeCell ref="AA290:AA291"/>
    <mergeCell ref="AB290:AB291"/>
    <mergeCell ref="AC290:AC291"/>
    <mergeCell ref="Z288:Z289"/>
    <mergeCell ref="AA288:AA289"/>
    <mergeCell ref="R288:R289"/>
    <mergeCell ref="AG288:AG289"/>
    <mergeCell ref="E290:E291"/>
    <mergeCell ref="F290:F291"/>
    <mergeCell ref="G290:G291"/>
    <mergeCell ref="H290:H291"/>
    <mergeCell ref="I290:I291"/>
    <mergeCell ref="V288:V289"/>
    <mergeCell ref="W288:W289"/>
    <mergeCell ref="X288:X289"/>
    <mergeCell ref="U288:U289"/>
    <mergeCell ref="F288:F289"/>
    <mergeCell ref="G288:G289"/>
    <mergeCell ref="H288:H289"/>
    <mergeCell ref="I288:I289"/>
    <mergeCell ref="J288:J289"/>
    <mergeCell ref="K288:K289"/>
    <mergeCell ref="O288:O289"/>
    <mergeCell ref="P288:P289"/>
    <mergeCell ref="Q288:Q289"/>
    <mergeCell ref="G294:G295"/>
    <mergeCell ref="H294:H295"/>
    <mergeCell ref="I294:I295"/>
    <mergeCell ref="W292:W293"/>
    <mergeCell ref="I292:I293"/>
    <mergeCell ref="J292:J293"/>
    <mergeCell ref="K292:K293"/>
    <mergeCell ref="L292:L293"/>
    <mergeCell ref="J294:J295"/>
    <mergeCell ref="K294:K295"/>
    <mergeCell ref="X292:X293"/>
    <mergeCell ref="M292:M293"/>
    <mergeCell ref="N292:N293"/>
    <mergeCell ref="S292:S293"/>
    <mergeCell ref="T292:T293"/>
    <mergeCell ref="U292:U293"/>
    <mergeCell ref="V292:V293"/>
    <mergeCell ref="O292:O293"/>
    <mergeCell ref="P292:P293"/>
    <mergeCell ref="P290:P291"/>
    <mergeCell ref="Q290:Q291"/>
    <mergeCell ref="R290:R291"/>
    <mergeCell ref="S290:S291"/>
    <mergeCell ref="E292:E293"/>
    <mergeCell ref="F292:F293"/>
    <mergeCell ref="G292:G293"/>
    <mergeCell ref="H292:H293"/>
    <mergeCell ref="J290:J291"/>
    <mergeCell ref="K290:K291"/>
    <mergeCell ref="L290:L291"/>
    <mergeCell ref="M290:M291"/>
    <mergeCell ref="AF290:AF291"/>
    <mergeCell ref="AG290:AG291"/>
    <mergeCell ref="V290:V291"/>
    <mergeCell ref="W290:W291"/>
    <mergeCell ref="X290:X291"/>
    <mergeCell ref="Y290:Y291"/>
    <mergeCell ref="AE294:AE295"/>
    <mergeCell ref="AF294:AF295"/>
    <mergeCell ref="AG294:AG295"/>
    <mergeCell ref="N290:N291"/>
    <mergeCell ref="O290:O291"/>
    <mergeCell ref="AB294:AB295"/>
    <mergeCell ref="AC294:AC295"/>
    <mergeCell ref="AC292:AC293"/>
    <mergeCell ref="Q292:Q293"/>
    <mergeCell ref="R292:R293"/>
    <mergeCell ref="AG296:AG297"/>
    <mergeCell ref="AF296:AF297"/>
    <mergeCell ref="T294:T295"/>
    <mergeCell ref="U294:U295"/>
    <mergeCell ref="V294:V295"/>
    <mergeCell ref="W294:W295"/>
    <mergeCell ref="X294:X295"/>
    <mergeCell ref="Y294:Y295"/>
    <mergeCell ref="AB296:AB297"/>
    <mergeCell ref="AD294:AD295"/>
    <mergeCell ref="M294:M295"/>
    <mergeCell ref="Z294:Z295"/>
    <mergeCell ref="AA294:AA295"/>
    <mergeCell ref="P294:P295"/>
    <mergeCell ref="Q294:Q295"/>
    <mergeCell ref="R294:R295"/>
    <mergeCell ref="S294:S295"/>
    <mergeCell ref="N294:N295"/>
    <mergeCell ref="O294:O295"/>
    <mergeCell ref="AG292:AG293"/>
    <mergeCell ref="X296:X297"/>
    <mergeCell ref="Y296:Y297"/>
    <mergeCell ref="Z296:Z297"/>
    <mergeCell ref="AC296:AC297"/>
    <mergeCell ref="AD296:AD297"/>
    <mergeCell ref="AE296:AE297"/>
    <mergeCell ref="AA296:AA297"/>
    <mergeCell ref="AD292:AD293"/>
    <mergeCell ref="Y292:Y293"/>
    <mergeCell ref="E300:E301"/>
    <mergeCell ref="F300:F301"/>
    <mergeCell ref="G300:G301"/>
    <mergeCell ref="H300:H301"/>
    <mergeCell ref="AE292:AE293"/>
    <mergeCell ref="AF292:AF293"/>
    <mergeCell ref="Z292:Z293"/>
    <mergeCell ref="AA292:AA293"/>
    <mergeCell ref="AB292:AB293"/>
    <mergeCell ref="L294:L295"/>
    <mergeCell ref="U296:U297"/>
    <mergeCell ref="V296:V297"/>
    <mergeCell ref="I300:I301"/>
    <mergeCell ref="W296:W297"/>
    <mergeCell ref="T300:T301"/>
    <mergeCell ref="U300:U301"/>
    <mergeCell ref="J300:J301"/>
    <mergeCell ref="K300:K301"/>
    <mergeCell ref="M296:M297"/>
    <mergeCell ref="N296:N297"/>
    <mergeCell ref="I296:I297"/>
    <mergeCell ref="J296:J297"/>
    <mergeCell ref="K296:K297"/>
    <mergeCell ref="L296:L297"/>
    <mergeCell ref="S296:S297"/>
    <mergeCell ref="T296:T297"/>
    <mergeCell ref="Q296:Q297"/>
    <mergeCell ref="R296:R297"/>
    <mergeCell ref="C302:C305"/>
    <mergeCell ref="D302:D303"/>
    <mergeCell ref="E302:E303"/>
    <mergeCell ref="F302:F303"/>
    <mergeCell ref="O296:O297"/>
    <mergeCell ref="P296:P297"/>
    <mergeCell ref="E296:E297"/>
    <mergeCell ref="F296:F297"/>
    <mergeCell ref="G296:G297"/>
    <mergeCell ref="H296:H297"/>
    <mergeCell ref="K302:K303"/>
    <mergeCell ref="L302:L303"/>
    <mergeCell ref="M302:M303"/>
    <mergeCell ref="N302:N303"/>
    <mergeCell ref="O302:O303"/>
    <mergeCell ref="P302:P303"/>
    <mergeCell ref="A302:A305"/>
    <mergeCell ref="B302:B305"/>
    <mergeCell ref="I302:I303"/>
    <mergeCell ref="J302:J303"/>
    <mergeCell ref="AB300:AB301"/>
    <mergeCell ref="AC300:AC301"/>
    <mergeCell ref="Q302:Q303"/>
    <mergeCell ref="R302:R303"/>
    <mergeCell ref="G302:G303"/>
    <mergeCell ref="H302:H303"/>
    <mergeCell ref="AF300:AF301"/>
    <mergeCell ref="AG300:AG301"/>
    <mergeCell ref="V300:V301"/>
    <mergeCell ref="W300:W301"/>
    <mergeCell ref="X300:X301"/>
    <mergeCell ref="Y300:Y301"/>
    <mergeCell ref="Z300:Z301"/>
    <mergeCell ref="AA300:AA301"/>
    <mergeCell ref="AD300:AD301"/>
    <mergeCell ref="AE300:AE301"/>
    <mergeCell ref="L300:L301"/>
    <mergeCell ref="M300:M301"/>
    <mergeCell ref="N300:N301"/>
    <mergeCell ref="O300:O301"/>
    <mergeCell ref="R300:R301"/>
    <mergeCell ref="S300:S301"/>
    <mergeCell ref="P300:P301"/>
    <mergeCell ref="Q300:Q301"/>
    <mergeCell ref="AF304:AF305"/>
    <mergeCell ref="AG304:AG305"/>
    <mergeCell ref="X304:X305"/>
    <mergeCell ref="Y304:Y305"/>
    <mergeCell ref="Z304:Z305"/>
    <mergeCell ref="AA304:AA305"/>
    <mergeCell ref="AB304:AB305"/>
    <mergeCell ref="AC304:AC305"/>
    <mergeCell ref="T304:T305"/>
    <mergeCell ref="U304:U305"/>
    <mergeCell ref="V304:V305"/>
    <mergeCell ref="W304:W305"/>
    <mergeCell ref="N304:N305"/>
    <mergeCell ref="O304:O305"/>
    <mergeCell ref="P304:P305"/>
    <mergeCell ref="Q304:Q305"/>
    <mergeCell ref="AG302:AG303"/>
    <mergeCell ref="E304:E305"/>
    <mergeCell ref="F304:F305"/>
    <mergeCell ref="G304:G305"/>
    <mergeCell ref="H304:H305"/>
    <mergeCell ref="I304:I305"/>
    <mergeCell ref="J304:J305"/>
    <mergeCell ref="K304:K305"/>
    <mergeCell ref="AD304:AD305"/>
    <mergeCell ref="AE304:AE305"/>
    <mergeCell ref="L304:L305"/>
    <mergeCell ref="M304:M305"/>
    <mergeCell ref="Z302:Z303"/>
    <mergeCell ref="AA302:AA303"/>
    <mergeCell ref="T302:T303"/>
    <mergeCell ref="U302:U303"/>
    <mergeCell ref="V302:V303"/>
    <mergeCell ref="W302:W303"/>
    <mergeCell ref="R304:R305"/>
    <mergeCell ref="S304:S305"/>
    <mergeCell ref="AB302:AB303"/>
    <mergeCell ref="AC302:AC303"/>
    <mergeCell ref="X302:X303"/>
    <mergeCell ref="Y302:Y303"/>
    <mergeCell ref="AD302:AD303"/>
    <mergeCell ref="AF302:AF303"/>
    <mergeCell ref="V306:V307"/>
    <mergeCell ref="W306:W307"/>
    <mergeCell ref="N308:N309"/>
    <mergeCell ref="O308:O309"/>
    <mergeCell ref="T306:T307"/>
    <mergeCell ref="U306:U307"/>
    <mergeCell ref="T308:T309"/>
    <mergeCell ref="U308:U309"/>
    <mergeCell ref="AG306:AG307"/>
    <mergeCell ref="E308:E309"/>
    <mergeCell ref="F308:F309"/>
    <mergeCell ref="G308:G309"/>
    <mergeCell ref="H308:H309"/>
    <mergeCell ref="I308:I309"/>
    <mergeCell ref="I306:I307"/>
    <mergeCell ref="J306:J307"/>
    <mergeCell ref="AB306:AB307"/>
    <mergeCell ref="AC306:AC307"/>
    <mergeCell ref="O306:O307"/>
    <mergeCell ref="P306:P307"/>
    <mergeCell ref="M306:M307"/>
    <mergeCell ref="N306:N307"/>
    <mergeCell ref="AD306:AD307"/>
    <mergeCell ref="AF306:AF307"/>
    <mergeCell ref="X306:X307"/>
    <mergeCell ref="Y306:Y307"/>
    <mergeCell ref="Z306:Z307"/>
    <mergeCell ref="AA306:AA307"/>
    <mergeCell ref="A306:A309"/>
    <mergeCell ref="B306:B309"/>
    <mergeCell ref="C306:C309"/>
    <mergeCell ref="D306:D307"/>
    <mergeCell ref="K306:K307"/>
    <mergeCell ref="L306:L307"/>
    <mergeCell ref="T310:T311"/>
    <mergeCell ref="U310:U311"/>
    <mergeCell ref="V310:V311"/>
    <mergeCell ref="W310:W311"/>
    <mergeCell ref="E306:E307"/>
    <mergeCell ref="F306:F307"/>
    <mergeCell ref="G306:G307"/>
    <mergeCell ref="H306:H307"/>
    <mergeCell ref="Q306:Q307"/>
    <mergeCell ref="R306:R307"/>
    <mergeCell ref="AF318:AF319"/>
    <mergeCell ref="AG318:AG319"/>
    <mergeCell ref="V318:V319"/>
    <mergeCell ref="W318:W319"/>
    <mergeCell ref="AB318:AB319"/>
    <mergeCell ref="AC318:AC319"/>
    <mergeCell ref="AD318:AD319"/>
    <mergeCell ref="AE318:AE319"/>
    <mergeCell ref="J312:J313"/>
    <mergeCell ref="K312:K313"/>
    <mergeCell ref="AD310:AD311"/>
    <mergeCell ref="AF310:AF311"/>
    <mergeCell ref="L312:L313"/>
    <mergeCell ref="M312:M313"/>
    <mergeCell ref="O310:O311"/>
    <mergeCell ref="P310:P311"/>
    <mergeCell ref="AB310:AB311"/>
    <mergeCell ref="AC310:AC311"/>
    <mergeCell ref="X310:X311"/>
    <mergeCell ref="Y310:Y311"/>
    <mergeCell ref="Z310:Z311"/>
    <mergeCell ref="AA310:AA311"/>
    <mergeCell ref="AG310:AG311"/>
    <mergeCell ref="E312:E313"/>
    <mergeCell ref="F312:F313"/>
    <mergeCell ref="G312:G313"/>
    <mergeCell ref="H312:H313"/>
    <mergeCell ref="I312:I313"/>
    <mergeCell ref="N310:N311"/>
    <mergeCell ref="Q310:Q311"/>
    <mergeCell ref="R310:R311"/>
    <mergeCell ref="G310:G311"/>
    <mergeCell ref="H310:H311"/>
    <mergeCell ref="I310:I311"/>
    <mergeCell ref="J310:J311"/>
    <mergeCell ref="K310:K311"/>
    <mergeCell ref="L310:L311"/>
    <mergeCell ref="E310:E311"/>
    <mergeCell ref="F310:F311"/>
    <mergeCell ref="J308:J309"/>
    <mergeCell ref="K308:K309"/>
    <mergeCell ref="L308:L309"/>
    <mergeCell ref="M308:M309"/>
    <mergeCell ref="M310:M311"/>
    <mergeCell ref="P308:P309"/>
    <mergeCell ref="Q308:Q309"/>
    <mergeCell ref="R308:R309"/>
    <mergeCell ref="S308:S309"/>
    <mergeCell ref="Z308:Z309"/>
    <mergeCell ref="AA308:AA309"/>
    <mergeCell ref="AF308:AF309"/>
    <mergeCell ref="AG308:AG309"/>
    <mergeCell ref="V308:V309"/>
    <mergeCell ref="W308:W309"/>
    <mergeCell ref="X308:X309"/>
    <mergeCell ref="Y308:Y309"/>
    <mergeCell ref="AD308:AD309"/>
    <mergeCell ref="AE308:AE309"/>
    <mergeCell ref="AB308:AB309"/>
    <mergeCell ref="AC308:AC309"/>
    <mergeCell ref="O316:O317"/>
    <mergeCell ref="P316:P317"/>
    <mergeCell ref="U316:U317"/>
    <mergeCell ref="V316:V317"/>
    <mergeCell ref="AB314:AB315"/>
    <mergeCell ref="AC314:AC315"/>
    <mergeCell ref="AC316:AC317"/>
    <mergeCell ref="AD316:AD317"/>
    <mergeCell ref="Q314:Q315"/>
    <mergeCell ref="R314:R315"/>
    <mergeCell ref="T314:T315"/>
    <mergeCell ref="U314:U315"/>
    <mergeCell ref="Q316:Q317"/>
    <mergeCell ref="R316:R317"/>
    <mergeCell ref="S316:S317"/>
    <mergeCell ref="AD314:AD315"/>
    <mergeCell ref="AF314:AF315"/>
    <mergeCell ref="AG314:AG315"/>
    <mergeCell ref="V314:V315"/>
    <mergeCell ref="W314:W315"/>
    <mergeCell ref="X314:X315"/>
    <mergeCell ref="Y314:Y315"/>
    <mergeCell ref="Z314:Z315"/>
    <mergeCell ref="AA314:AA315"/>
    <mergeCell ref="AE314:AE315"/>
    <mergeCell ref="G314:G315"/>
    <mergeCell ref="H314:H315"/>
    <mergeCell ref="M314:M315"/>
    <mergeCell ref="N314:N315"/>
    <mergeCell ref="O314:O315"/>
    <mergeCell ref="P314:P315"/>
    <mergeCell ref="I314:I315"/>
    <mergeCell ref="J314:J315"/>
    <mergeCell ref="K314:K315"/>
    <mergeCell ref="L314:L315"/>
    <mergeCell ref="Z312:Z313"/>
    <mergeCell ref="AA312:AA313"/>
    <mergeCell ref="AF312:AF313"/>
    <mergeCell ref="AG312:AG313"/>
    <mergeCell ref="A314:A351"/>
    <mergeCell ref="B314:B351"/>
    <mergeCell ref="C314:C351"/>
    <mergeCell ref="D314:D315"/>
    <mergeCell ref="E314:E315"/>
    <mergeCell ref="F314:F315"/>
    <mergeCell ref="AB312:AB313"/>
    <mergeCell ref="AC312:AC313"/>
    <mergeCell ref="N312:N313"/>
    <mergeCell ref="O312:O313"/>
    <mergeCell ref="P312:P313"/>
    <mergeCell ref="Q312:Q313"/>
    <mergeCell ref="R312:R313"/>
    <mergeCell ref="S312:S313"/>
    <mergeCell ref="X312:X313"/>
    <mergeCell ref="Y312:Y313"/>
    <mergeCell ref="A310:A313"/>
    <mergeCell ref="B310:B313"/>
    <mergeCell ref="C310:C313"/>
    <mergeCell ref="D310:D311"/>
    <mergeCell ref="AD312:AD313"/>
    <mergeCell ref="AE312:AE313"/>
    <mergeCell ref="T312:T313"/>
    <mergeCell ref="U312:U313"/>
    <mergeCell ref="V312:V313"/>
    <mergeCell ref="W312:W313"/>
    <mergeCell ref="AE316:AE317"/>
    <mergeCell ref="AF316:AF317"/>
    <mergeCell ref="T318:T319"/>
    <mergeCell ref="U318:U319"/>
    <mergeCell ref="Y316:Y317"/>
    <mergeCell ref="Z316:Z317"/>
    <mergeCell ref="AA316:AA317"/>
    <mergeCell ref="AB316:AB317"/>
    <mergeCell ref="T316:T317"/>
    <mergeCell ref="Z318:Z319"/>
    <mergeCell ref="O318:O319"/>
    <mergeCell ref="AG316:AG317"/>
    <mergeCell ref="E318:E319"/>
    <mergeCell ref="F318:F319"/>
    <mergeCell ref="G318:G319"/>
    <mergeCell ref="H318:H319"/>
    <mergeCell ref="I318:I319"/>
    <mergeCell ref="W316:W317"/>
    <mergeCell ref="X316:X317"/>
    <mergeCell ref="J318:J319"/>
    <mergeCell ref="H316:H317"/>
    <mergeCell ref="K316:K317"/>
    <mergeCell ref="L316:L317"/>
    <mergeCell ref="M316:M317"/>
    <mergeCell ref="N316:N317"/>
    <mergeCell ref="N318:N319"/>
    <mergeCell ref="K318:K319"/>
    <mergeCell ref="L318:L319"/>
    <mergeCell ref="M318:M319"/>
    <mergeCell ref="I316:I317"/>
    <mergeCell ref="J316:J317"/>
    <mergeCell ref="E322:E323"/>
    <mergeCell ref="F322:F323"/>
    <mergeCell ref="G322:G323"/>
    <mergeCell ref="H322:H323"/>
    <mergeCell ref="I322:I323"/>
    <mergeCell ref="E316:E317"/>
    <mergeCell ref="F316:F317"/>
    <mergeCell ref="G316:G317"/>
    <mergeCell ref="R320:R321"/>
    <mergeCell ref="S320:S321"/>
    <mergeCell ref="T320:T321"/>
    <mergeCell ref="W320:W321"/>
    <mergeCell ref="X320:X321"/>
    <mergeCell ref="K320:K321"/>
    <mergeCell ref="L320:L321"/>
    <mergeCell ref="M320:M321"/>
    <mergeCell ref="N320:N321"/>
    <mergeCell ref="E320:E321"/>
    <mergeCell ref="F320:F321"/>
    <mergeCell ref="G320:G321"/>
    <mergeCell ref="H320:H321"/>
    <mergeCell ref="I320:I321"/>
    <mergeCell ref="J320:J321"/>
    <mergeCell ref="Q318:Q319"/>
    <mergeCell ref="R318:R319"/>
    <mergeCell ref="S318:S319"/>
    <mergeCell ref="X318:X319"/>
    <mergeCell ref="AA318:AA319"/>
    <mergeCell ref="O320:O321"/>
    <mergeCell ref="P320:P321"/>
    <mergeCell ref="P318:P319"/>
    <mergeCell ref="AA320:AA321"/>
    <mergeCell ref="Q320:Q321"/>
    <mergeCell ref="T322:T323"/>
    <mergeCell ref="Y318:Y319"/>
    <mergeCell ref="AB322:AB323"/>
    <mergeCell ref="AC322:AC323"/>
    <mergeCell ref="AD322:AD323"/>
    <mergeCell ref="Y320:Y321"/>
    <mergeCell ref="Z320:Z321"/>
    <mergeCell ref="AC320:AC321"/>
    <mergeCell ref="AD320:AD321"/>
    <mergeCell ref="AB320:AB321"/>
    <mergeCell ref="AA322:AA323"/>
    <mergeCell ref="AE322:AE323"/>
    <mergeCell ref="O324:O325"/>
    <mergeCell ref="P324:P325"/>
    <mergeCell ref="U324:U325"/>
    <mergeCell ref="V324:V325"/>
    <mergeCell ref="AC324:AC325"/>
    <mergeCell ref="AD324:AD325"/>
    <mergeCell ref="R322:R323"/>
    <mergeCell ref="S322:S323"/>
    <mergeCell ref="O322:O323"/>
    <mergeCell ref="P322:P323"/>
    <mergeCell ref="Q322:Q323"/>
    <mergeCell ref="AF322:AF323"/>
    <mergeCell ref="AG322:AG323"/>
    <mergeCell ref="V322:V323"/>
    <mergeCell ref="W322:W323"/>
    <mergeCell ref="X322:X323"/>
    <mergeCell ref="Y322:Y323"/>
    <mergeCell ref="Z322:Z323"/>
    <mergeCell ref="AE320:AE321"/>
    <mergeCell ref="AF320:AF321"/>
    <mergeCell ref="U320:U321"/>
    <mergeCell ref="V320:V321"/>
    <mergeCell ref="U322:U323"/>
    <mergeCell ref="J322:J323"/>
    <mergeCell ref="K322:K323"/>
    <mergeCell ref="L322:L323"/>
    <mergeCell ref="M322:M323"/>
    <mergeCell ref="N322:N323"/>
    <mergeCell ref="AG320:AG321"/>
    <mergeCell ref="Z326:Z327"/>
    <mergeCell ref="AA326:AA327"/>
    <mergeCell ref="AB326:AB327"/>
    <mergeCell ref="AC326:AC327"/>
    <mergeCell ref="AD326:AD327"/>
    <mergeCell ref="AE326:AE327"/>
    <mergeCell ref="AF326:AF327"/>
    <mergeCell ref="AG326:AG327"/>
    <mergeCell ref="AE324:AE325"/>
    <mergeCell ref="V326:V327"/>
    <mergeCell ref="W326:W327"/>
    <mergeCell ref="X326:X327"/>
    <mergeCell ref="Y326:Y327"/>
    <mergeCell ref="P326:P327"/>
    <mergeCell ref="Q326:Q327"/>
    <mergeCell ref="R326:R327"/>
    <mergeCell ref="S326:S327"/>
    <mergeCell ref="AF324:AF325"/>
    <mergeCell ref="T326:T327"/>
    <mergeCell ref="U326:U327"/>
    <mergeCell ref="J326:J327"/>
    <mergeCell ref="K326:K327"/>
    <mergeCell ref="L326:L327"/>
    <mergeCell ref="M326:M327"/>
    <mergeCell ref="N326:N327"/>
    <mergeCell ref="O326:O327"/>
    <mergeCell ref="K324:K325"/>
    <mergeCell ref="AG324:AG325"/>
    <mergeCell ref="E326:E327"/>
    <mergeCell ref="F326:F327"/>
    <mergeCell ref="G326:G327"/>
    <mergeCell ref="H326:H327"/>
    <mergeCell ref="I326:I327"/>
    <mergeCell ref="W324:W325"/>
    <mergeCell ref="X324:X325"/>
    <mergeCell ref="Y324:Y325"/>
    <mergeCell ref="Z324:Z325"/>
    <mergeCell ref="AB324:AB325"/>
    <mergeCell ref="Q324:Q325"/>
    <mergeCell ref="R324:R325"/>
    <mergeCell ref="S324:S325"/>
    <mergeCell ref="T324:T325"/>
    <mergeCell ref="L324:L325"/>
    <mergeCell ref="M324:M325"/>
    <mergeCell ref="N324:N325"/>
    <mergeCell ref="AA324:AA325"/>
    <mergeCell ref="Q328:Q329"/>
    <mergeCell ref="R328:R329"/>
    <mergeCell ref="S328:S329"/>
    <mergeCell ref="T328:T329"/>
    <mergeCell ref="E324:E325"/>
    <mergeCell ref="F324:F325"/>
    <mergeCell ref="G324:G325"/>
    <mergeCell ref="H324:H325"/>
    <mergeCell ref="AA330:AA331"/>
    <mergeCell ref="AB330:AB331"/>
    <mergeCell ref="AC330:AC331"/>
    <mergeCell ref="AA328:AA329"/>
    <mergeCell ref="AB328:AB329"/>
    <mergeCell ref="I324:I325"/>
    <mergeCell ref="J324:J325"/>
    <mergeCell ref="AC328:AC329"/>
    <mergeCell ref="M328:M329"/>
    <mergeCell ref="N328:N329"/>
    <mergeCell ref="W328:W329"/>
    <mergeCell ref="X328:X329"/>
    <mergeCell ref="Y328:Y329"/>
    <mergeCell ref="Z328:Z329"/>
    <mergeCell ref="AE328:AE329"/>
    <mergeCell ref="AF328:AF329"/>
    <mergeCell ref="AD328:AD329"/>
    <mergeCell ref="U328:U329"/>
    <mergeCell ref="V328:V329"/>
    <mergeCell ref="O328:O329"/>
    <mergeCell ref="P328:P329"/>
    <mergeCell ref="AG328:AG329"/>
    <mergeCell ref="E330:E331"/>
    <mergeCell ref="F330:F331"/>
    <mergeCell ref="G330:G331"/>
    <mergeCell ref="H330:H331"/>
    <mergeCell ref="I330:I331"/>
    <mergeCell ref="I328:I329"/>
    <mergeCell ref="J328:J329"/>
    <mergeCell ref="K328:K329"/>
    <mergeCell ref="L328:L329"/>
    <mergeCell ref="E328:E329"/>
    <mergeCell ref="F328:F329"/>
    <mergeCell ref="G328:G329"/>
    <mergeCell ref="H328:H329"/>
    <mergeCell ref="I332:I333"/>
    <mergeCell ref="J332:J333"/>
    <mergeCell ref="J334:J335"/>
    <mergeCell ref="E334:E335"/>
    <mergeCell ref="F334:F335"/>
    <mergeCell ref="G334:G335"/>
    <mergeCell ref="H334:H335"/>
    <mergeCell ref="Q332:Q333"/>
    <mergeCell ref="R332:R333"/>
    <mergeCell ref="S332:S333"/>
    <mergeCell ref="T332:T333"/>
    <mergeCell ref="I334:I335"/>
    <mergeCell ref="W332:W333"/>
    <mergeCell ref="K332:K333"/>
    <mergeCell ref="L332:L333"/>
    <mergeCell ref="M332:M333"/>
    <mergeCell ref="N332:N333"/>
    <mergeCell ref="R330:R331"/>
    <mergeCell ref="S330:S331"/>
    <mergeCell ref="Z332:Z333"/>
    <mergeCell ref="AC332:AC333"/>
    <mergeCell ref="AA332:AA333"/>
    <mergeCell ref="AB332:AB333"/>
    <mergeCell ref="X332:X333"/>
    <mergeCell ref="T330:T331"/>
    <mergeCell ref="U330:U331"/>
    <mergeCell ref="Z330:Z331"/>
    <mergeCell ref="E332:E333"/>
    <mergeCell ref="F332:F333"/>
    <mergeCell ref="G332:G333"/>
    <mergeCell ref="H332:H333"/>
    <mergeCell ref="AD330:AD331"/>
    <mergeCell ref="AE330:AE331"/>
    <mergeCell ref="O332:O333"/>
    <mergeCell ref="P332:P333"/>
    <mergeCell ref="P330:P331"/>
    <mergeCell ref="Q330:Q331"/>
    <mergeCell ref="J330:J331"/>
    <mergeCell ref="K330:K331"/>
    <mergeCell ref="L330:L331"/>
    <mergeCell ref="M330:M331"/>
    <mergeCell ref="AF330:AF331"/>
    <mergeCell ref="AG330:AG331"/>
    <mergeCell ref="V330:V331"/>
    <mergeCell ref="W330:W331"/>
    <mergeCell ref="X330:X331"/>
    <mergeCell ref="Y330:Y331"/>
    <mergeCell ref="N330:N331"/>
    <mergeCell ref="O330:O331"/>
    <mergeCell ref="AB334:AB335"/>
    <mergeCell ref="AC334:AC335"/>
    <mergeCell ref="T334:T335"/>
    <mergeCell ref="U334:U335"/>
    <mergeCell ref="O334:O335"/>
    <mergeCell ref="P334:P335"/>
    <mergeCell ref="Q334:Q335"/>
    <mergeCell ref="Y332:Y333"/>
    <mergeCell ref="U336:U337"/>
    <mergeCell ref="V336:V337"/>
    <mergeCell ref="AC336:AC337"/>
    <mergeCell ref="AD336:AD337"/>
    <mergeCell ref="R334:R335"/>
    <mergeCell ref="S334:S335"/>
    <mergeCell ref="K334:K335"/>
    <mergeCell ref="L334:L335"/>
    <mergeCell ref="M334:M335"/>
    <mergeCell ref="N334:N335"/>
    <mergeCell ref="AF334:AF335"/>
    <mergeCell ref="AG334:AG335"/>
    <mergeCell ref="V334:V335"/>
    <mergeCell ref="W334:W335"/>
    <mergeCell ref="X334:X335"/>
    <mergeCell ref="Y334:Y335"/>
    <mergeCell ref="P338:P339"/>
    <mergeCell ref="AD332:AD333"/>
    <mergeCell ref="AE332:AE333"/>
    <mergeCell ref="AF332:AF333"/>
    <mergeCell ref="U332:U333"/>
    <mergeCell ref="V332:V333"/>
    <mergeCell ref="Z334:Z335"/>
    <mergeCell ref="AA334:AA335"/>
    <mergeCell ref="AD334:AD335"/>
    <mergeCell ref="AE334:AE335"/>
    <mergeCell ref="Q338:Q339"/>
    <mergeCell ref="R338:R339"/>
    <mergeCell ref="S338:S339"/>
    <mergeCell ref="AF338:AF339"/>
    <mergeCell ref="AG332:AG333"/>
    <mergeCell ref="K340:K341"/>
    <mergeCell ref="L340:L341"/>
    <mergeCell ref="Z338:Z339"/>
    <mergeCell ref="AA338:AA339"/>
    <mergeCell ref="AB338:AB339"/>
    <mergeCell ref="AA336:AA337"/>
    <mergeCell ref="AB336:AB337"/>
    <mergeCell ref="AG338:AG339"/>
    <mergeCell ref="V338:V339"/>
    <mergeCell ref="W338:W339"/>
    <mergeCell ref="X338:X339"/>
    <mergeCell ref="Y338:Y339"/>
    <mergeCell ref="AC338:AC339"/>
    <mergeCell ref="AD338:AD339"/>
    <mergeCell ref="AE338:AE339"/>
    <mergeCell ref="J338:J339"/>
    <mergeCell ref="K338:K339"/>
    <mergeCell ref="L338:L339"/>
    <mergeCell ref="M338:M339"/>
    <mergeCell ref="AE336:AE337"/>
    <mergeCell ref="AF336:AF337"/>
    <mergeCell ref="T338:T339"/>
    <mergeCell ref="U338:U339"/>
    <mergeCell ref="Y336:Y337"/>
    <mergeCell ref="Z336:Z337"/>
    <mergeCell ref="N338:N339"/>
    <mergeCell ref="O338:O339"/>
    <mergeCell ref="AG336:AG337"/>
    <mergeCell ref="E338:E339"/>
    <mergeCell ref="F338:F339"/>
    <mergeCell ref="G338:G339"/>
    <mergeCell ref="H338:H339"/>
    <mergeCell ref="I338:I339"/>
    <mergeCell ref="W336:W337"/>
    <mergeCell ref="X336:X337"/>
    <mergeCell ref="S336:S337"/>
    <mergeCell ref="T336:T337"/>
    <mergeCell ref="K336:K337"/>
    <mergeCell ref="L336:L337"/>
    <mergeCell ref="M336:M337"/>
    <mergeCell ref="N336:N337"/>
    <mergeCell ref="O336:O337"/>
    <mergeCell ref="P336:P337"/>
    <mergeCell ref="E336:E337"/>
    <mergeCell ref="F336:F337"/>
    <mergeCell ref="G336:G337"/>
    <mergeCell ref="H336:H337"/>
    <mergeCell ref="Q336:Q337"/>
    <mergeCell ref="R336:R337"/>
    <mergeCell ref="I336:I337"/>
    <mergeCell ref="J336:J337"/>
    <mergeCell ref="AD342:AD343"/>
    <mergeCell ref="AE342:AE343"/>
    <mergeCell ref="P342:P343"/>
    <mergeCell ref="Q342:Q343"/>
    <mergeCell ref="R342:R343"/>
    <mergeCell ref="S342:S343"/>
    <mergeCell ref="J342:J343"/>
    <mergeCell ref="K342:K343"/>
    <mergeCell ref="O344:O345"/>
    <mergeCell ref="P344:P345"/>
    <mergeCell ref="E344:E345"/>
    <mergeCell ref="F344:F345"/>
    <mergeCell ref="G344:G345"/>
    <mergeCell ref="H344:H345"/>
    <mergeCell ref="I344:I345"/>
    <mergeCell ref="J344:J345"/>
    <mergeCell ref="M344:M345"/>
    <mergeCell ref="N344:N345"/>
    <mergeCell ref="AG342:AG343"/>
    <mergeCell ref="V342:V343"/>
    <mergeCell ref="W342:W343"/>
    <mergeCell ref="X342:X343"/>
    <mergeCell ref="Y342:Y343"/>
    <mergeCell ref="AB342:AB343"/>
    <mergeCell ref="AC342:AC343"/>
    <mergeCell ref="AE340:AE341"/>
    <mergeCell ref="AF340:AF341"/>
    <mergeCell ref="L342:L343"/>
    <mergeCell ref="M342:M343"/>
    <mergeCell ref="N342:N343"/>
    <mergeCell ref="O342:O343"/>
    <mergeCell ref="AF342:AF343"/>
    <mergeCell ref="T342:T343"/>
    <mergeCell ref="U342:U343"/>
    <mergeCell ref="Z342:Z343"/>
    <mergeCell ref="AA342:AA343"/>
    <mergeCell ref="AC340:AC341"/>
    <mergeCell ref="AD340:AD341"/>
    <mergeCell ref="AG340:AG341"/>
    <mergeCell ref="E342:E343"/>
    <mergeCell ref="F342:F343"/>
    <mergeCell ref="G342:G343"/>
    <mergeCell ref="H342:H343"/>
    <mergeCell ref="I342:I343"/>
    <mergeCell ref="W340:W341"/>
    <mergeCell ref="X340:X341"/>
    <mergeCell ref="Y340:Y341"/>
    <mergeCell ref="Z340:Z341"/>
    <mergeCell ref="AA340:AA341"/>
    <mergeCell ref="AB340:AB341"/>
    <mergeCell ref="Q340:Q341"/>
    <mergeCell ref="R340:R341"/>
    <mergeCell ref="S340:S341"/>
    <mergeCell ref="T340:T341"/>
    <mergeCell ref="U340:U341"/>
    <mergeCell ref="V340:V341"/>
    <mergeCell ref="O340:O341"/>
    <mergeCell ref="P340:P341"/>
    <mergeCell ref="E340:E341"/>
    <mergeCell ref="F340:F341"/>
    <mergeCell ref="G340:G341"/>
    <mergeCell ref="H340:H341"/>
    <mergeCell ref="I340:I341"/>
    <mergeCell ref="J340:J341"/>
    <mergeCell ref="M340:M341"/>
    <mergeCell ref="N340:N341"/>
    <mergeCell ref="P346:P347"/>
    <mergeCell ref="Q346:Q347"/>
    <mergeCell ref="AF346:AF347"/>
    <mergeCell ref="AG346:AG347"/>
    <mergeCell ref="V346:V347"/>
    <mergeCell ref="W346:W347"/>
    <mergeCell ref="X346:X347"/>
    <mergeCell ref="Y346:Y347"/>
    <mergeCell ref="Z346:Z347"/>
    <mergeCell ref="AA346:AA347"/>
    <mergeCell ref="J346:J347"/>
    <mergeCell ref="K346:K347"/>
    <mergeCell ref="L346:L347"/>
    <mergeCell ref="M346:M347"/>
    <mergeCell ref="N346:N347"/>
    <mergeCell ref="O346:O347"/>
    <mergeCell ref="Y344:Y345"/>
    <mergeCell ref="Z344:Z345"/>
    <mergeCell ref="AC344:AC345"/>
    <mergeCell ref="AD344:AD345"/>
    <mergeCell ref="T346:T347"/>
    <mergeCell ref="U346:U347"/>
    <mergeCell ref="AB346:AB347"/>
    <mergeCell ref="AC346:AC347"/>
    <mergeCell ref="W344:W345"/>
    <mergeCell ref="X344:X345"/>
    <mergeCell ref="K344:K345"/>
    <mergeCell ref="L344:L345"/>
    <mergeCell ref="AE344:AE345"/>
    <mergeCell ref="AF344:AF345"/>
    <mergeCell ref="U344:U345"/>
    <mergeCell ref="V344:V345"/>
    <mergeCell ref="AA344:AA345"/>
    <mergeCell ref="AB344:AB345"/>
    <mergeCell ref="Q344:Q345"/>
    <mergeCell ref="R344:R345"/>
    <mergeCell ref="S344:S345"/>
    <mergeCell ref="T344:T345"/>
    <mergeCell ref="AG344:AG345"/>
    <mergeCell ref="E346:E347"/>
    <mergeCell ref="F346:F347"/>
    <mergeCell ref="G346:G347"/>
    <mergeCell ref="H346:H347"/>
    <mergeCell ref="I346:I347"/>
    <mergeCell ref="L350:L351"/>
    <mergeCell ref="M350:M351"/>
    <mergeCell ref="E350:E351"/>
    <mergeCell ref="F350:F351"/>
    <mergeCell ref="G350:G351"/>
    <mergeCell ref="H350:H351"/>
    <mergeCell ref="K348:K349"/>
    <mergeCell ref="L348:L349"/>
    <mergeCell ref="M348:M349"/>
    <mergeCell ref="N348:N349"/>
    <mergeCell ref="I350:I351"/>
    <mergeCell ref="W348:W349"/>
    <mergeCell ref="I348:I349"/>
    <mergeCell ref="J348:J349"/>
    <mergeCell ref="J350:J351"/>
    <mergeCell ref="K350:K351"/>
    <mergeCell ref="E348:E349"/>
    <mergeCell ref="F348:F349"/>
    <mergeCell ref="G348:G349"/>
    <mergeCell ref="H348:H349"/>
    <mergeCell ref="AA348:AA349"/>
    <mergeCell ref="AB348:AB349"/>
    <mergeCell ref="Q348:Q349"/>
    <mergeCell ref="R348:R349"/>
    <mergeCell ref="S348:S349"/>
    <mergeCell ref="T348:T349"/>
    <mergeCell ref="AD346:AD347"/>
    <mergeCell ref="AE346:AE347"/>
    <mergeCell ref="O348:O349"/>
    <mergeCell ref="P348:P349"/>
    <mergeCell ref="U348:U349"/>
    <mergeCell ref="V348:V349"/>
    <mergeCell ref="AC348:AC349"/>
    <mergeCell ref="AD348:AD349"/>
    <mergeCell ref="R346:R347"/>
    <mergeCell ref="S346:S347"/>
    <mergeCell ref="P372:P373"/>
    <mergeCell ref="Q372:Q373"/>
    <mergeCell ref="J372:J373"/>
    <mergeCell ref="K372:K373"/>
    <mergeCell ref="L372:L373"/>
    <mergeCell ref="M372:M373"/>
    <mergeCell ref="P350:P351"/>
    <mergeCell ref="Q350:Q351"/>
    <mergeCell ref="R350:R351"/>
    <mergeCell ref="S350:S351"/>
    <mergeCell ref="Z350:Z351"/>
    <mergeCell ref="AA350:AA351"/>
    <mergeCell ref="AG350:AG351"/>
    <mergeCell ref="V350:V351"/>
    <mergeCell ref="W350:W351"/>
    <mergeCell ref="X350:X351"/>
    <mergeCell ref="Y350:Y351"/>
    <mergeCell ref="AD350:AD351"/>
    <mergeCell ref="AE350:AE351"/>
    <mergeCell ref="AB350:AB351"/>
    <mergeCell ref="AC350:AC351"/>
    <mergeCell ref="AF352:AF353"/>
    <mergeCell ref="Z352:Z353"/>
    <mergeCell ref="AE348:AE349"/>
    <mergeCell ref="AF348:AF349"/>
    <mergeCell ref="T350:T351"/>
    <mergeCell ref="U350:U351"/>
    <mergeCell ref="AF350:AF351"/>
    <mergeCell ref="Z348:Z349"/>
    <mergeCell ref="X348:X349"/>
    <mergeCell ref="Y348:Y349"/>
    <mergeCell ref="AG376:AG377"/>
    <mergeCell ref="AB376:AB377"/>
    <mergeCell ref="N350:N351"/>
    <mergeCell ref="O350:O351"/>
    <mergeCell ref="AG348:AG349"/>
    <mergeCell ref="H370:H371"/>
    <mergeCell ref="I370:I371"/>
    <mergeCell ref="AB352:AB353"/>
    <mergeCell ref="AC352:AC353"/>
    <mergeCell ref="AG352:AG353"/>
    <mergeCell ref="A370:A389"/>
    <mergeCell ref="B370:B389"/>
    <mergeCell ref="C370:C389"/>
    <mergeCell ref="D370:D371"/>
    <mergeCell ref="AG374:AG375"/>
    <mergeCell ref="E376:E377"/>
    <mergeCell ref="F376:F377"/>
    <mergeCell ref="G376:G377"/>
    <mergeCell ref="H376:H377"/>
    <mergeCell ref="I376:I377"/>
    <mergeCell ref="E370:E371"/>
    <mergeCell ref="F370:F371"/>
    <mergeCell ref="G370:G371"/>
    <mergeCell ref="AD352:AD353"/>
    <mergeCell ref="T352:T353"/>
    <mergeCell ref="U352:U353"/>
    <mergeCell ref="V352:V353"/>
    <mergeCell ref="W352:W353"/>
    <mergeCell ref="X352:X353"/>
    <mergeCell ref="Y352:Y353"/>
    <mergeCell ref="AA352:AA353"/>
    <mergeCell ref="K352:K353"/>
    <mergeCell ref="L352:L353"/>
    <mergeCell ref="M352:M353"/>
    <mergeCell ref="N352:N353"/>
    <mergeCell ref="O352:O353"/>
    <mergeCell ref="P352:P353"/>
    <mergeCell ref="Q352:Q353"/>
    <mergeCell ref="R352:R353"/>
    <mergeCell ref="G352:G353"/>
    <mergeCell ref="H352:H353"/>
    <mergeCell ref="I352:I353"/>
    <mergeCell ref="J352:J353"/>
    <mergeCell ref="A352:A369"/>
    <mergeCell ref="B352:B369"/>
    <mergeCell ref="C352:C369"/>
    <mergeCell ref="D352:D353"/>
    <mergeCell ref="E352:E353"/>
    <mergeCell ref="F352:F353"/>
    <mergeCell ref="AB372:AB373"/>
    <mergeCell ref="AC372:AC373"/>
    <mergeCell ref="V372:V373"/>
    <mergeCell ref="W372:W373"/>
    <mergeCell ref="X372:X373"/>
    <mergeCell ref="Y372:Y373"/>
    <mergeCell ref="Z372:Z373"/>
    <mergeCell ref="AA372:AA373"/>
    <mergeCell ref="AF372:AF373"/>
    <mergeCell ref="AG372:AG373"/>
    <mergeCell ref="T372:T373"/>
    <mergeCell ref="U372:U373"/>
    <mergeCell ref="R372:R373"/>
    <mergeCell ref="S372:S373"/>
    <mergeCell ref="AD372:AD373"/>
    <mergeCell ref="AE372:AE373"/>
    <mergeCell ref="AG378:AG379"/>
    <mergeCell ref="E380:E381"/>
    <mergeCell ref="F380:F381"/>
    <mergeCell ref="G380:G381"/>
    <mergeCell ref="H380:H381"/>
    <mergeCell ref="I380:I381"/>
    <mergeCell ref="AF380:AF381"/>
    <mergeCell ref="AG380:AG381"/>
    <mergeCell ref="AB380:AB381"/>
    <mergeCell ref="AC380:AC381"/>
    <mergeCell ref="AE370:AE371"/>
    <mergeCell ref="AF370:AF371"/>
    <mergeCell ref="U370:U371"/>
    <mergeCell ref="V370:V371"/>
    <mergeCell ref="Y370:Y371"/>
    <mergeCell ref="Z370:Z371"/>
    <mergeCell ref="AC370:AC371"/>
    <mergeCell ref="AD370:AD371"/>
    <mergeCell ref="AG370:AG371"/>
    <mergeCell ref="E372:E373"/>
    <mergeCell ref="F372:F373"/>
    <mergeCell ref="G372:G373"/>
    <mergeCell ref="H372:H373"/>
    <mergeCell ref="I372:I373"/>
    <mergeCell ref="W370:W371"/>
    <mergeCell ref="X370:X371"/>
    <mergeCell ref="J370:J371"/>
    <mergeCell ref="K370:K371"/>
    <mergeCell ref="AB370:AB371"/>
    <mergeCell ref="P370:P371"/>
    <mergeCell ref="Q370:Q371"/>
    <mergeCell ref="R370:R371"/>
    <mergeCell ref="T370:T371"/>
    <mergeCell ref="N370:N371"/>
    <mergeCell ref="O370:O371"/>
    <mergeCell ref="X376:X377"/>
    <mergeCell ref="Y376:Y377"/>
    <mergeCell ref="Z376:Z377"/>
    <mergeCell ref="L370:L371"/>
    <mergeCell ref="M370:M371"/>
    <mergeCell ref="AA370:AA371"/>
    <mergeCell ref="W374:W375"/>
    <mergeCell ref="X374:X375"/>
    <mergeCell ref="N372:N373"/>
    <mergeCell ref="O372:O373"/>
    <mergeCell ref="AA376:AA377"/>
    <mergeCell ref="J376:J377"/>
    <mergeCell ref="K376:K377"/>
    <mergeCell ref="L376:L377"/>
    <mergeCell ref="M376:M377"/>
    <mergeCell ref="N376:N377"/>
    <mergeCell ref="O376:O377"/>
    <mergeCell ref="T376:T377"/>
    <mergeCell ref="P376:P377"/>
    <mergeCell ref="Q376:Q377"/>
    <mergeCell ref="AB374:AB375"/>
    <mergeCell ref="AC374:AC375"/>
    <mergeCell ref="AD374:AD375"/>
    <mergeCell ref="AE374:AE375"/>
    <mergeCell ref="AF374:AF375"/>
    <mergeCell ref="AD376:AD377"/>
    <mergeCell ref="AE376:AE377"/>
    <mergeCell ref="AC376:AC377"/>
    <mergeCell ref="R382:R383"/>
    <mergeCell ref="S382:S383"/>
    <mergeCell ref="T382:T383"/>
    <mergeCell ref="U376:U377"/>
    <mergeCell ref="AF376:AF377"/>
    <mergeCell ref="U374:U375"/>
    <mergeCell ref="V374:V375"/>
    <mergeCell ref="Y374:Y375"/>
    <mergeCell ref="Z374:Z375"/>
    <mergeCell ref="AA374:AA375"/>
    <mergeCell ref="M374:M375"/>
    <mergeCell ref="N374:N375"/>
    <mergeCell ref="U382:U383"/>
    <mergeCell ref="V382:V383"/>
    <mergeCell ref="K382:K383"/>
    <mergeCell ref="L382:L383"/>
    <mergeCell ref="M382:M383"/>
    <mergeCell ref="N382:N383"/>
    <mergeCell ref="P382:P383"/>
    <mergeCell ref="Q382:Q383"/>
    <mergeCell ref="O374:O375"/>
    <mergeCell ref="P374:P375"/>
    <mergeCell ref="E374:E375"/>
    <mergeCell ref="F374:F375"/>
    <mergeCell ref="G374:G375"/>
    <mergeCell ref="H374:H375"/>
    <mergeCell ref="I374:I375"/>
    <mergeCell ref="J374:J375"/>
    <mergeCell ref="K374:K375"/>
    <mergeCell ref="L374:L375"/>
    <mergeCell ref="X380:X381"/>
    <mergeCell ref="Y380:Y381"/>
    <mergeCell ref="Q374:Q375"/>
    <mergeCell ref="R374:R375"/>
    <mergeCell ref="S374:S375"/>
    <mergeCell ref="T374:T375"/>
    <mergeCell ref="R376:R377"/>
    <mergeCell ref="S376:S377"/>
    <mergeCell ref="V376:V377"/>
    <mergeCell ref="W376:W377"/>
    <mergeCell ref="AD380:AD381"/>
    <mergeCell ref="AE380:AE381"/>
    <mergeCell ref="Z380:Z381"/>
    <mergeCell ref="AA380:AA381"/>
    <mergeCell ref="P380:P381"/>
    <mergeCell ref="Q380:Q381"/>
    <mergeCell ref="R380:R381"/>
    <mergeCell ref="S380:S381"/>
    <mergeCell ref="V380:V381"/>
    <mergeCell ref="W380:W381"/>
    <mergeCell ref="AE378:AE379"/>
    <mergeCell ref="AF378:AF379"/>
    <mergeCell ref="T380:T381"/>
    <mergeCell ref="U380:U381"/>
    <mergeCell ref="Y378:Y379"/>
    <mergeCell ref="Z378:Z379"/>
    <mergeCell ref="AC378:AC379"/>
    <mergeCell ref="AD378:AD379"/>
    <mergeCell ref="AA378:AA379"/>
    <mergeCell ref="AB378:AB379"/>
    <mergeCell ref="U378:U379"/>
    <mergeCell ref="V378:V379"/>
    <mergeCell ref="S378:S379"/>
    <mergeCell ref="T378:T379"/>
    <mergeCell ref="J380:J381"/>
    <mergeCell ref="K380:K381"/>
    <mergeCell ref="L380:L381"/>
    <mergeCell ref="M380:M381"/>
    <mergeCell ref="E386:E387"/>
    <mergeCell ref="F386:F387"/>
    <mergeCell ref="K386:K387"/>
    <mergeCell ref="L386:L387"/>
    <mergeCell ref="M386:M387"/>
    <mergeCell ref="N386:N387"/>
    <mergeCell ref="G386:G387"/>
    <mergeCell ref="H386:H387"/>
    <mergeCell ref="K378:K379"/>
    <mergeCell ref="L378:L379"/>
    <mergeCell ref="M378:M379"/>
    <mergeCell ref="N378:N379"/>
    <mergeCell ref="O386:O387"/>
    <mergeCell ref="P386:P387"/>
    <mergeCell ref="N380:N381"/>
    <mergeCell ref="O380:O381"/>
    <mergeCell ref="P378:P379"/>
    <mergeCell ref="R384:R385"/>
    <mergeCell ref="S384:S385"/>
    <mergeCell ref="AC382:AC383"/>
    <mergeCell ref="AD382:AD383"/>
    <mergeCell ref="AE382:AE383"/>
    <mergeCell ref="W378:W379"/>
    <mergeCell ref="X378:X379"/>
    <mergeCell ref="Q378:Q379"/>
    <mergeCell ref="R378:R379"/>
    <mergeCell ref="L384:L385"/>
    <mergeCell ref="M384:M385"/>
    <mergeCell ref="N384:N385"/>
    <mergeCell ref="O384:O385"/>
    <mergeCell ref="E378:E379"/>
    <mergeCell ref="F378:F379"/>
    <mergeCell ref="G378:G379"/>
    <mergeCell ref="H378:H379"/>
    <mergeCell ref="O378:O379"/>
    <mergeCell ref="O382:O383"/>
    <mergeCell ref="V384:V385"/>
    <mergeCell ref="W384:W385"/>
    <mergeCell ref="X384:X385"/>
    <mergeCell ref="Y384:Y385"/>
    <mergeCell ref="I378:I379"/>
    <mergeCell ref="J378:J379"/>
    <mergeCell ref="P384:P385"/>
    <mergeCell ref="Q384:Q385"/>
    <mergeCell ref="J384:J385"/>
    <mergeCell ref="K384:K385"/>
    <mergeCell ref="AB384:AB385"/>
    <mergeCell ref="AC384:AC385"/>
    <mergeCell ref="AA382:AA383"/>
    <mergeCell ref="AB382:AB383"/>
    <mergeCell ref="AF384:AF385"/>
    <mergeCell ref="AG384:AG385"/>
    <mergeCell ref="AD384:AD385"/>
    <mergeCell ref="AE384:AE385"/>
    <mergeCell ref="I384:I385"/>
    <mergeCell ref="W382:W383"/>
    <mergeCell ref="X382:X383"/>
    <mergeCell ref="Y382:Y383"/>
    <mergeCell ref="Z382:Z383"/>
    <mergeCell ref="AF382:AF383"/>
    <mergeCell ref="T384:T385"/>
    <mergeCell ref="U384:U385"/>
    <mergeCell ref="Z384:Z385"/>
    <mergeCell ref="AA384:AA385"/>
    <mergeCell ref="AD408:AD409"/>
    <mergeCell ref="AE408:AE409"/>
    <mergeCell ref="AF408:AF409"/>
    <mergeCell ref="AC405:AC406"/>
    <mergeCell ref="AD405:AD406"/>
    <mergeCell ref="AG382:AG383"/>
    <mergeCell ref="E382:E383"/>
    <mergeCell ref="F382:F383"/>
    <mergeCell ref="G382:G383"/>
    <mergeCell ref="H382:H383"/>
    <mergeCell ref="AD388:AD389"/>
    <mergeCell ref="AE388:AE389"/>
    <mergeCell ref="E384:E385"/>
    <mergeCell ref="F384:F385"/>
    <mergeCell ref="G384:G385"/>
    <mergeCell ref="H384:H385"/>
    <mergeCell ref="E390:E391"/>
    <mergeCell ref="F390:F391"/>
    <mergeCell ref="L390:L391"/>
    <mergeCell ref="AD390:AD391"/>
    <mergeCell ref="O390:O391"/>
    <mergeCell ref="P390:P391"/>
    <mergeCell ref="AC390:AC391"/>
    <mergeCell ref="T390:T391"/>
    <mergeCell ref="U390:U391"/>
    <mergeCell ref="V390:V391"/>
    <mergeCell ref="I382:I383"/>
    <mergeCell ref="J382:J383"/>
    <mergeCell ref="AB388:AB389"/>
    <mergeCell ref="AC388:AC389"/>
    <mergeCell ref="P388:P389"/>
    <mergeCell ref="Q388:Q389"/>
    <mergeCell ref="R388:R389"/>
    <mergeCell ref="S388:S389"/>
    <mergeCell ref="T388:T389"/>
    <mergeCell ref="U388:U389"/>
    <mergeCell ref="AG388:AG389"/>
    <mergeCell ref="V388:V389"/>
    <mergeCell ref="W388:W389"/>
    <mergeCell ref="X388:X389"/>
    <mergeCell ref="Y388:Y389"/>
    <mergeCell ref="Z388:Z389"/>
    <mergeCell ref="AA388:AA389"/>
    <mergeCell ref="AF388:AF389"/>
    <mergeCell ref="AA386:AA387"/>
    <mergeCell ref="AB386:AB387"/>
    <mergeCell ref="Q386:Q387"/>
    <mergeCell ref="R386:R387"/>
    <mergeCell ref="S386:S387"/>
    <mergeCell ref="T386:T387"/>
    <mergeCell ref="U386:U387"/>
    <mergeCell ref="V386:V387"/>
    <mergeCell ref="Y386:Y387"/>
    <mergeCell ref="Z386:Z387"/>
    <mergeCell ref="W386:W387"/>
    <mergeCell ref="X386:X387"/>
    <mergeCell ref="N388:N389"/>
    <mergeCell ref="O388:O389"/>
    <mergeCell ref="J388:J389"/>
    <mergeCell ref="K388:K389"/>
    <mergeCell ref="L388:L389"/>
    <mergeCell ref="M388:M389"/>
    <mergeCell ref="AE386:AE387"/>
    <mergeCell ref="AF386:AF387"/>
    <mergeCell ref="AC386:AC387"/>
    <mergeCell ref="AD386:AD387"/>
    <mergeCell ref="AG386:AG387"/>
    <mergeCell ref="E388:E389"/>
    <mergeCell ref="F388:F389"/>
    <mergeCell ref="G388:G389"/>
    <mergeCell ref="H388:H389"/>
    <mergeCell ref="I388:I389"/>
    <mergeCell ref="F405:F406"/>
    <mergeCell ref="G405:G406"/>
    <mergeCell ref="H405:H406"/>
    <mergeCell ref="AF390:AF391"/>
    <mergeCell ref="I386:I387"/>
    <mergeCell ref="J386:J387"/>
    <mergeCell ref="M390:M391"/>
    <mergeCell ref="N390:N391"/>
    <mergeCell ref="J390:J391"/>
    <mergeCell ref="K390:K391"/>
    <mergeCell ref="W390:W391"/>
    <mergeCell ref="X390:X391"/>
    <mergeCell ref="Y390:Y391"/>
    <mergeCell ref="Z390:Z391"/>
    <mergeCell ref="AG390:AG391"/>
    <mergeCell ref="A405:A413"/>
    <mergeCell ref="B405:B413"/>
    <mergeCell ref="C405:C413"/>
    <mergeCell ref="D405:D406"/>
    <mergeCell ref="E405:E406"/>
    <mergeCell ref="AA390:AA391"/>
    <mergeCell ref="AB390:AB391"/>
    <mergeCell ref="A390:A404"/>
    <mergeCell ref="B390:B404"/>
    <mergeCell ref="C390:C404"/>
    <mergeCell ref="D390:D391"/>
    <mergeCell ref="R390:R391"/>
    <mergeCell ref="G390:G391"/>
    <mergeCell ref="H390:H391"/>
    <mergeCell ref="I390:I391"/>
    <mergeCell ref="AG408:AG409"/>
    <mergeCell ref="AF405:AF406"/>
    <mergeCell ref="AG405:AG406"/>
    <mergeCell ref="E408:E409"/>
    <mergeCell ref="F408:F409"/>
    <mergeCell ref="G408:G409"/>
    <mergeCell ref="H408:H409"/>
    <mergeCell ref="I408:I409"/>
    <mergeCell ref="J408:J409"/>
    <mergeCell ref="W405:W406"/>
    <mergeCell ref="AC414:AC415"/>
    <mergeCell ref="AD414:AD415"/>
    <mergeCell ref="X405:X406"/>
    <mergeCell ref="J405:J406"/>
    <mergeCell ref="K405:K406"/>
    <mergeCell ref="L405:L406"/>
    <mergeCell ref="M405:M406"/>
    <mergeCell ref="R405:R406"/>
    <mergeCell ref="T405:T406"/>
    <mergeCell ref="AC408:AC409"/>
    <mergeCell ref="Q390:Q391"/>
    <mergeCell ref="R414:R415"/>
    <mergeCell ref="T414:T415"/>
    <mergeCell ref="U414:U415"/>
    <mergeCell ref="AF414:AF415"/>
    <mergeCell ref="AG414:AG415"/>
    <mergeCell ref="Y414:Y415"/>
    <mergeCell ref="Z414:Z415"/>
    <mergeCell ref="AA414:AA415"/>
    <mergeCell ref="AB414:AB415"/>
    <mergeCell ref="V414:V415"/>
    <mergeCell ref="N405:N406"/>
    <mergeCell ref="O405:O406"/>
    <mergeCell ref="U405:U406"/>
    <mergeCell ref="V405:V406"/>
    <mergeCell ref="O408:O409"/>
    <mergeCell ref="P405:P406"/>
    <mergeCell ref="Q405:Q406"/>
    <mergeCell ref="I405:I406"/>
    <mergeCell ref="W414:W415"/>
    <mergeCell ref="A414:A416"/>
    <mergeCell ref="B414:B416"/>
    <mergeCell ref="C414:C416"/>
    <mergeCell ref="D414:D415"/>
    <mergeCell ref="E414:E415"/>
    <mergeCell ref="V408:V409"/>
    <mergeCell ref="W408:W409"/>
    <mergeCell ref="K408:K409"/>
    <mergeCell ref="K421:K422"/>
    <mergeCell ref="F414:F415"/>
    <mergeCell ref="G414:G415"/>
    <mergeCell ref="H414:H415"/>
    <mergeCell ref="I414:I415"/>
    <mergeCell ref="J414:J415"/>
    <mergeCell ref="K414:K415"/>
    <mergeCell ref="I419:I420"/>
    <mergeCell ref="I417:I418"/>
    <mergeCell ref="J417:J418"/>
    <mergeCell ref="X408:X409"/>
    <mergeCell ref="Y408:Y409"/>
    <mergeCell ref="Z408:Z409"/>
    <mergeCell ref="O421:O422"/>
    <mergeCell ref="P421:P422"/>
    <mergeCell ref="V421:V422"/>
    <mergeCell ref="O419:O420"/>
    <mergeCell ref="X414:X415"/>
    <mergeCell ref="P414:P415"/>
    <mergeCell ref="Q414:Q415"/>
    <mergeCell ref="Z405:Z406"/>
    <mergeCell ref="AA405:AA406"/>
    <mergeCell ref="AB405:AB406"/>
    <mergeCell ref="AB408:AB409"/>
    <mergeCell ref="Q408:Q409"/>
    <mergeCell ref="R408:R409"/>
    <mergeCell ref="S408:S409"/>
    <mergeCell ref="T408:T409"/>
    <mergeCell ref="U408:U409"/>
    <mergeCell ref="AA408:AA409"/>
    <mergeCell ref="P424:P425"/>
    <mergeCell ref="L414:L415"/>
    <mergeCell ref="M414:M415"/>
    <mergeCell ref="N414:N415"/>
    <mergeCell ref="O414:O415"/>
    <mergeCell ref="Y405:Y406"/>
    <mergeCell ref="L408:L409"/>
    <mergeCell ref="M408:M409"/>
    <mergeCell ref="N408:N409"/>
    <mergeCell ref="P408:P409"/>
    <mergeCell ref="AD419:AD420"/>
    <mergeCell ref="N419:N420"/>
    <mergeCell ref="AB424:AB425"/>
    <mergeCell ref="AC424:AC425"/>
    <mergeCell ref="AD424:AD425"/>
    <mergeCell ref="AB419:AB420"/>
    <mergeCell ref="AC419:AC420"/>
    <mergeCell ref="P419:P420"/>
    <mergeCell ref="Q419:Q420"/>
    <mergeCell ref="R419:R420"/>
    <mergeCell ref="U419:U420"/>
    <mergeCell ref="AE419:AE420"/>
    <mergeCell ref="AF419:AF420"/>
    <mergeCell ref="AG419:AG420"/>
    <mergeCell ref="V419:V420"/>
    <mergeCell ref="W419:W420"/>
    <mergeCell ref="X419:X420"/>
    <mergeCell ref="Y419:Y420"/>
    <mergeCell ref="Z419:Z420"/>
    <mergeCell ref="AA419:AA420"/>
    <mergeCell ref="Q417:Q418"/>
    <mergeCell ref="AB417:AB418"/>
    <mergeCell ref="AC417:AC418"/>
    <mergeCell ref="AD417:AD418"/>
    <mergeCell ref="J419:J420"/>
    <mergeCell ref="K419:K420"/>
    <mergeCell ref="L419:L420"/>
    <mergeCell ref="M419:M420"/>
    <mergeCell ref="S419:S420"/>
    <mergeCell ref="T419:T420"/>
    <mergeCell ref="V417:V418"/>
    <mergeCell ref="L421:L422"/>
    <mergeCell ref="M421:M422"/>
    <mergeCell ref="N421:N422"/>
    <mergeCell ref="AF417:AF418"/>
    <mergeCell ref="W417:W418"/>
    <mergeCell ref="X417:X418"/>
    <mergeCell ref="AA417:AA418"/>
    <mergeCell ref="O417:O418"/>
    <mergeCell ref="P417:P418"/>
    <mergeCell ref="AF424:AF425"/>
    <mergeCell ref="AG417:AG418"/>
    <mergeCell ref="Q421:Q422"/>
    <mergeCell ref="R421:R422"/>
    <mergeCell ref="S421:S422"/>
    <mergeCell ref="T421:T422"/>
    <mergeCell ref="U421:U422"/>
    <mergeCell ref="AE421:AE422"/>
    <mergeCell ref="AF421:AF422"/>
    <mergeCell ref="AG421:AG422"/>
    <mergeCell ref="R424:R425"/>
    <mergeCell ref="S424:S425"/>
    <mergeCell ref="AE424:AE425"/>
    <mergeCell ref="AG424:AG425"/>
    <mergeCell ref="V424:V425"/>
    <mergeCell ref="W424:W425"/>
    <mergeCell ref="X424:X425"/>
    <mergeCell ref="Y424:Y425"/>
    <mergeCell ref="Z424:Z425"/>
    <mergeCell ref="AA424:AA425"/>
    <mergeCell ref="AC421:AC422"/>
    <mergeCell ref="AD421:AD422"/>
    <mergeCell ref="T424:T425"/>
    <mergeCell ref="U424:U425"/>
    <mergeCell ref="Z421:Z422"/>
    <mergeCell ref="AA421:AA422"/>
    <mergeCell ref="AB421:AB422"/>
    <mergeCell ref="Y421:Y422"/>
    <mergeCell ref="I421:I422"/>
    <mergeCell ref="J421:J422"/>
    <mergeCell ref="E424:E425"/>
    <mergeCell ref="F424:F425"/>
    <mergeCell ref="G424:G425"/>
    <mergeCell ref="H424:H425"/>
    <mergeCell ref="N424:N425"/>
    <mergeCell ref="O424:O425"/>
    <mergeCell ref="J424:J425"/>
    <mergeCell ref="F419:F420"/>
    <mergeCell ref="G419:G420"/>
    <mergeCell ref="H419:H420"/>
    <mergeCell ref="I424:I425"/>
    <mergeCell ref="W421:W422"/>
    <mergeCell ref="X421:X422"/>
    <mergeCell ref="K424:K425"/>
    <mergeCell ref="L424:L425"/>
    <mergeCell ref="M424:M425"/>
    <mergeCell ref="Q424:Q425"/>
    <mergeCell ref="N417:N418"/>
    <mergeCell ref="O426:O427"/>
    <mergeCell ref="P426:P427"/>
    <mergeCell ref="E426:E427"/>
    <mergeCell ref="F426:F427"/>
    <mergeCell ref="G426:G427"/>
    <mergeCell ref="H426:H427"/>
    <mergeCell ref="I426:I427"/>
    <mergeCell ref="N426:N427"/>
    <mergeCell ref="E419:E420"/>
    <mergeCell ref="R417:R418"/>
    <mergeCell ref="T417:T418"/>
    <mergeCell ref="U417:U418"/>
    <mergeCell ref="E417:E418"/>
    <mergeCell ref="F417:F418"/>
    <mergeCell ref="G417:G418"/>
    <mergeCell ref="H417:H418"/>
    <mergeCell ref="K417:K418"/>
    <mergeCell ref="L417:L418"/>
    <mergeCell ref="M417:M418"/>
    <mergeCell ref="Y417:Y418"/>
    <mergeCell ref="Z417:Z418"/>
    <mergeCell ref="AE428:AE429"/>
    <mergeCell ref="AF428:AF429"/>
    <mergeCell ref="AC428:AC429"/>
    <mergeCell ref="AD428:AD429"/>
    <mergeCell ref="AA426:AA427"/>
    <mergeCell ref="AB426:AB427"/>
    <mergeCell ref="AE426:AE427"/>
    <mergeCell ref="AF426:AF427"/>
    <mergeCell ref="AA428:AA429"/>
    <mergeCell ref="AB428:AB429"/>
    <mergeCell ref="P428:P429"/>
    <mergeCell ref="Q428:Q429"/>
    <mergeCell ref="R428:R429"/>
    <mergeCell ref="S428:S429"/>
    <mergeCell ref="L426:L427"/>
    <mergeCell ref="M426:M427"/>
    <mergeCell ref="T428:T429"/>
    <mergeCell ref="U428:U429"/>
    <mergeCell ref="AG428:AG429"/>
    <mergeCell ref="V428:V429"/>
    <mergeCell ref="W428:W429"/>
    <mergeCell ref="X428:X429"/>
    <mergeCell ref="Y428:Y429"/>
    <mergeCell ref="Z428:Z429"/>
    <mergeCell ref="N428:N429"/>
    <mergeCell ref="O428:O429"/>
    <mergeCell ref="Q426:Q427"/>
    <mergeCell ref="R426:R427"/>
    <mergeCell ref="J428:J429"/>
    <mergeCell ref="K428:K429"/>
    <mergeCell ref="L428:L429"/>
    <mergeCell ref="M428:M429"/>
    <mergeCell ref="J426:J427"/>
    <mergeCell ref="K426:K427"/>
    <mergeCell ref="U426:U427"/>
    <mergeCell ref="V426:V427"/>
    <mergeCell ref="AG426:AG427"/>
    <mergeCell ref="E428:E429"/>
    <mergeCell ref="F428:F429"/>
    <mergeCell ref="G428:G429"/>
    <mergeCell ref="H428:H429"/>
    <mergeCell ref="I428:I429"/>
    <mergeCell ref="W426:W427"/>
    <mergeCell ref="X426:X427"/>
    <mergeCell ref="E432:E433"/>
    <mergeCell ref="F432:F433"/>
    <mergeCell ref="G432:G433"/>
    <mergeCell ref="H432:H433"/>
    <mergeCell ref="AC426:AC427"/>
    <mergeCell ref="AD426:AD427"/>
    <mergeCell ref="Y426:Y427"/>
    <mergeCell ref="Z426:Z427"/>
    <mergeCell ref="S426:S427"/>
    <mergeCell ref="T426:T427"/>
    <mergeCell ref="Y430:Y431"/>
    <mergeCell ref="I430:I431"/>
    <mergeCell ref="J430:J431"/>
    <mergeCell ref="K430:K431"/>
    <mergeCell ref="L430:L431"/>
    <mergeCell ref="M430:M431"/>
    <mergeCell ref="N430:N431"/>
    <mergeCell ref="R430:R431"/>
    <mergeCell ref="S430:S431"/>
    <mergeCell ref="T430:T431"/>
    <mergeCell ref="U430:U431"/>
    <mergeCell ref="V430:V431"/>
    <mergeCell ref="I432:I433"/>
    <mergeCell ref="E430:E431"/>
    <mergeCell ref="F430:F431"/>
    <mergeCell ref="G430:G431"/>
    <mergeCell ref="H430:H431"/>
    <mergeCell ref="E421:E422"/>
    <mergeCell ref="F421:F422"/>
    <mergeCell ref="G421:G422"/>
    <mergeCell ref="H421:H422"/>
    <mergeCell ref="AC434:AC435"/>
    <mergeCell ref="AD434:AD435"/>
    <mergeCell ref="P432:P433"/>
    <mergeCell ref="Q432:Q433"/>
    <mergeCell ref="O430:O431"/>
    <mergeCell ref="P430:P431"/>
    <mergeCell ref="Z430:Z431"/>
    <mergeCell ref="AA430:AA431"/>
    <mergeCell ref="AB430:AB431"/>
    <mergeCell ref="Q430:Q431"/>
    <mergeCell ref="AG432:AG433"/>
    <mergeCell ref="V432:V433"/>
    <mergeCell ref="W432:W433"/>
    <mergeCell ref="X432:X433"/>
    <mergeCell ref="Y432:Y433"/>
    <mergeCell ref="Z432:Z433"/>
    <mergeCell ref="AE432:AE433"/>
    <mergeCell ref="AF432:AF433"/>
    <mergeCell ref="N432:N433"/>
    <mergeCell ref="O432:O433"/>
    <mergeCell ref="AC430:AC431"/>
    <mergeCell ref="AD430:AD431"/>
    <mergeCell ref="J432:J433"/>
    <mergeCell ref="K432:K433"/>
    <mergeCell ref="L432:L433"/>
    <mergeCell ref="M432:M433"/>
    <mergeCell ref="R432:R433"/>
    <mergeCell ref="S432:S433"/>
    <mergeCell ref="AE430:AE431"/>
    <mergeCell ref="AF430:AF431"/>
    <mergeCell ref="T432:T433"/>
    <mergeCell ref="U432:U433"/>
    <mergeCell ref="AA432:AA433"/>
    <mergeCell ref="AB432:AB433"/>
    <mergeCell ref="AC432:AC433"/>
    <mergeCell ref="AD432:AD433"/>
    <mergeCell ref="W430:W431"/>
    <mergeCell ref="X430:X431"/>
    <mergeCell ref="AG430:AG431"/>
    <mergeCell ref="AG441:AG442"/>
    <mergeCell ref="V441:V442"/>
    <mergeCell ref="W441:W442"/>
    <mergeCell ref="X441:X442"/>
    <mergeCell ref="Y441:Y442"/>
    <mergeCell ref="Z441:Z442"/>
    <mergeCell ref="AA441:AA442"/>
    <mergeCell ref="AB441:AB442"/>
    <mergeCell ref="AE441:AE442"/>
    <mergeCell ref="Z434:Z435"/>
    <mergeCell ref="AA434:AA435"/>
    <mergeCell ref="AB434:AB435"/>
    <mergeCell ref="P441:P442"/>
    <mergeCell ref="Q441:Q442"/>
    <mergeCell ref="R441:R442"/>
    <mergeCell ref="S441:S442"/>
    <mergeCell ref="P434:P435"/>
    <mergeCell ref="U434:U435"/>
    <mergeCell ref="V434:V435"/>
    <mergeCell ref="J441:J442"/>
    <mergeCell ref="K441:K442"/>
    <mergeCell ref="L441:L442"/>
    <mergeCell ref="M441:M442"/>
    <mergeCell ref="AF441:AF442"/>
    <mergeCell ref="AE434:AE435"/>
    <mergeCell ref="AF434:AF435"/>
    <mergeCell ref="T441:T442"/>
    <mergeCell ref="U441:U442"/>
    <mergeCell ref="Y434:Y435"/>
    <mergeCell ref="N441:N442"/>
    <mergeCell ref="O441:O442"/>
    <mergeCell ref="AG434:AG435"/>
    <mergeCell ref="E441:E442"/>
    <mergeCell ref="F441:F442"/>
    <mergeCell ref="G441:G442"/>
    <mergeCell ref="H441:H442"/>
    <mergeCell ref="I441:I442"/>
    <mergeCell ref="W434:W435"/>
    <mergeCell ref="X434:X435"/>
    <mergeCell ref="S434:S435"/>
    <mergeCell ref="T434:T435"/>
    <mergeCell ref="K434:K435"/>
    <mergeCell ref="L434:L435"/>
    <mergeCell ref="M434:M435"/>
    <mergeCell ref="N434:N435"/>
    <mergeCell ref="O434:O435"/>
    <mergeCell ref="I434:I435"/>
    <mergeCell ref="J434:J435"/>
    <mergeCell ref="AC441:AC442"/>
    <mergeCell ref="AD441:AD442"/>
    <mergeCell ref="E434:E435"/>
    <mergeCell ref="F434:F435"/>
    <mergeCell ref="G434:G435"/>
    <mergeCell ref="H434:H435"/>
    <mergeCell ref="Q434:Q435"/>
    <mergeCell ref="R434:R435"/>
    <mergeCell ref="AG445:AG446"/>
    <mergeCell ref="V445:V446"/>
    <mergeCell ref="W445:W446"/>
    <mergeCell ref="X445:X446"/>
    <mergeCell ref="Y445:Y446"/>
    <mergeCell ref="Z445:Z446"/>
    <mergeCell ref="J445:J446"/>
    <mergeCell ref="K445:K446"/>
    <mergeCell ref="L445:L446"/>
    <mergeCell ref="M445:M446"/>
    <mergeCell ref="Q445:Q446"/>
    <mergeCell ref="R445:R446"/>
    <mergeCell ref="N445:N446"/>
    <mergeCell ref="O445:O446"/>
    <mergeCell ref="AC443:AC444"/>
    <mergeCell ref="AD443:AD444"/>
    <mergeCell ref="O443:O444"/>
    <mergeCell ref="P443:P444"/>
    <mergeCell ref="P445:P446"/>
    <mergeCell ref="S445:S446"/>
    <mergeCell ref="AE443:AE444"/>
    <mergeCell ref="AF443:AF444"/>
    <mergeCell ref="T445:T446"/>
    <mergeCell ref="U445:U446"/>
    <mergeCell ref="AA445:AA446"/>
    <mergeCell ref="AB445:AB446"/>
    <mergeCell ref="AC445:AC446"/>
    <mergeCell ref="AD445:AD446"/>
    <mergeCell ref="AE445:AE446"/>
    <mergeCell ref="AF445:AF446"/>
    <mergeCell ref="AG443:AG444"/>
    <mergeCell ref="E445:E446"/>
    <mergeCell ref="F445:F446"/>
    <mergeCell ref="G445:G446"/>
    <mergeCell ref="H445:H446"/>
    <mergeCell ref="I445:I446"/>
    <mergeCell ref="W443:W444"/>
    <mergeCell ref="X443:X444"/>
    <mergeCell ref="Y443:Y444"/>
    <mergeCell ref="Z443:Z444"/>
    <mergeCell ref="M443:M444"/>
    <mergeCell ref="N443:N444"/>
    <mergeCell ref="AA443:AA444"/>
    <mergeCell ref="AB443:AB444"/>
    <mergeCell ref="Q443:Q444"/>
    <mergeCell ref="R443:R444"/>
    <mergeCell ref="S443:S444"/>
    <mergeCell ref="T443:T444"/>
    <mergeCell ref="U443:U444"/>
    <mergeCell ref="V443:V444"/>
    <mergeCell ref="I443:I444"/>
    <mergeCell ref="J443:J444"/>
    <mergeCell ref="K443:K444"/>
    <mergeCell ref="L443:L444"/>
    <mergeCell ref="E443:E444"/>
    <mergeCell ref="F443:F444"/>
    <mergeCell ref="G443:G444"/>
    <mergeCell ref="H443:H444"/>
    <mergeCell ref="AG450:AG451"/>
    <mergeCell ref="V450:V451"/>
    <mergeCell ref="W450:W451"/>
    <mergeCell ref="X450:X451"/>
    <mergeCell ref="Y450:Y451"/>
    <mergeCell ref="Z450:Z451"/>
    <mergeCell ref="AA450:AA451"/>
    <mergeCell ref="AB450:AB451"/>
    <mergeCell ref="AE450:AE451"/>
    <mergeCell ref="AF450:AF451"/>
    <mergeCell ref="AA447:AA448"/>
    <mergeCell ref="AB447:AB448"/>
    <mergeCell ref="P450:P451"/>
    <mergeCell ref="Q450:Q451"/>
    <mergeCell ref="R450:R451"/>
    <mergeCell ref="S450:S451"/>
    <mergeCell ref="J450:J451"/>
    <mergeCell ref="K450:K451"/>
    <mergeCell ref="L450:L451"/>
    <mergeCell ref="M450:M451"/>
    <mergeCell ref="AE447:AE448"/>
    <mergeCell ref="AF447:AF448"/>
    <mergeCell ref="T450:T451"/>
    <mergeCell ref="U450:U451"/>
    <mergeCell ref="Y447:Y448"/>
    <mergeCell ref="Z447:Z448"/>
    <mergeCell ref="N450:N451"/>
    <mergeCell ref="O450:O451"/>
    <mergeCell ref="AG447:AG448"/>
    <mergeCell ref="E450:E451"/>
    <mergeCell ref="F450:F451"/>
    <mergeCell ref="G450:G451"/>
    <mergeCell ref="H450:H451"/>
    <mergeCell ref="I450:I451"/>
    <mergeCell ref="W447:W448"/>
    <mergeCell ref="X447:X448"/>
    <mergeCell ref="S447:S448"/>
    <mergeCell ref="T447:T448"/>
    <mergeCell ref="K447:K448"/>
    <mergeCell ref="L447:L448"/>
    <mergeCell ref="M447:M448"/>
    <mergeCell ref="N447:N448"/>
    <mergeCell ref="E447:E448"/>
    <mergeCell ref="F447:F448"/>
    <mergeCell ref="G447:G448"/>
    <mergeCell ref="H447:H448"/>
    <mergeCell ref="Q447:Q448"/>
    <mergeCell ref="R447:R448"/>
    <mergeCell ref="I447:I448"/>
    <mergeCell ref="J447:J448"/>
    <mergeCell ref="AC450:AC451"/>
    <mergeCell ref="AD450:AD451"/>
    <mergeCell ref="O447:O448"/>
    <mergeCell ref="P447:P448"/>
    <mergeCell ref="U447:U448"/>
    <mergeCell ref="V447:V448"/>
    <mergeCell ref="AC447:AC448"/>
    <mergeCell ref="AD447:AD448"/>
    <mergeCell ref="J454:J455"/>
    <mergeCell ref="K454:K455"/>
    <mergeCell ref="L454:L455"/>
    <mergeCell ref="M454:M455"/>
    <mergeCell ref="AG454:AG455"/>
    <mergeCell ref="V454:V455"/>
    <mergeCell ref="W454:W455"/>
    <mergeCell ref="X454:X455"/>
    <mergeCell ref="Y454:Y455"/>
    <mergeCell ref="Z454:Z455"/>
    <mergeCell ref="N454:N455"/>
    <mergeCell ref="O454:O455"/>
    <mergeCell ref="AC452:AC453"/>
    <mergeCell ref="AD452:AD453"/>
    <mergeCell ref="O452:O453"/>
    <mergeCell ref="P452:P453"/>
    <mergeCell ref="P454:P455"/>
    <mergeCell ref="Q454:Q455"/>
    <mergeCell ref="R454:R455"/>
    <mergeCell ref="S454:S455"/>
    <mergeCell ref="AE452:AE453"/>
    <mergeCell ref="AF452:AF453"/>
    <mergeCell ref="T454:T455"/>
    <mergeCell ref="U454:U455"/>
    <mergeCell ref="AA454:AA455"/>
    <mergeCell ref="AB454:AB455"/>
    <mergeCell ref="AC454:AC455"/>
    <mergeCell ref="AD454:AD455"/>
    <mergeCell ref="AE454:AE455"/>
    <mergeCell ref="AF454:AF455"/>
    <mergeCell ref="AG452:AG453"/>
    <mergeCell ref="E454:E455"/>
    <mergeCell ref="F454:F455"/>
    <mergeCell ref="G454:G455"/>
    <mergeCell ref="H454:H455"/>
    <mergeCell ref="I454:I455"/>
    <mergeCell ref="W452:W453"/>
    <mergeCell ref="X452:X453"/>
    <mergeCell ref="Y452:Y453"/>
    <mergeCell ref="Z452:Z453"/>
    <mergeCell ref="M452:M453"/>
    <mergeCell ref="N452:N453"/>
    <mergeCell ref="AA452:AA453"/>
    <mergeCell ref="AB452:AB453"/>
    <mergeCell ref="Q452:Q453"/>
    <mergeCell ref="R452:R453"/>
    <mergeCell ref="S452:S453"/>
    <mergeCell ref="T452:T453"/>
    <mergeCell ref="U452:U453"/>
    <mergeCell ref="V452:V453"/>
    <mergeCell ref="I452:I453"/>
    <mergeCell ref="J452:J453"/>
    <mergeCell ref="K452:K453"/>
    <mergeCell ref="L452:L453"/>
    <mergeCell ref="E452:E453"/>
    <mergeCell ref="F452:F453"/>
    <mergeCell ref="G452:G453"/>
    <mergeCell ref="H452:H453"/>
    <mergeCell ref="AG458:AG459"/>
    <mergeCell ref="V458:V459"/>
    <mergeCell ref="W458:W459"/>
    <mergeCell ref="X458:X459"/>
    <mergeCell ref="Y458:Y459"/>
    <mergeCell ref="Z458:Z459"/>
    <mergeCell ref="AA458:AA459"/>
    <mergeCell ref="AB458:AB459"/>
    <mergeCell ref="AE458:AE459"/>
    <mergeCell ref="AF458:AF459"/>
    <mergeCell ref="AA456:AA457"/>
    <mergeCell ref="AB456:AB457"/>
    <mergeCell ref="P458:P459"/>
    <mergeCell ref="Q458:Q459"/>
    <mergeCell ref="R458:R459"/>
    <mergeCell ref="S458:S459"/>
    <mergeCell ref="J458:J459"/>
    <mergeCell ref="K458:K459"/>
    <mergeCell ref="L458:L459"/>
    <mergeCell ref="M458:M459"/>
    <mergeCell ref="AE456:AE457"/>
    <mergeCell ref="AF456:AF457"/>
    <mergeCell ref="T458:T459"/>
    <mergeCell ref="U458:U459"/>
    <mergeCell ref="Y456:Y457"/>
    <mergeCell ref="Z456:Z457"/>
    <mergeCell ref="N458:N459"/>
    <mergeCell ref="O458:O459"/>
    <mergeCell ref="AG456:AG457"/>
    <mergeCell ref="E458:E459"/>
    <mergeCell ref="F458:F459"/>
    <mergeCell ref="G458:G459"/>
    <mergeCell ref="H458:H459"/>
    <mergeCell ref="I458:I459"/>
    <mergeCell ref="W456:W457"/>
    <mergeCell ref="X456:X457"/>
    <mergeCell ref="S456:S457"/>
    <mergeCell ref="T456:T457"/>
    <mergeCell ref="K456:K457"/>
    <mergeCell ref="L456:L457"/>
    <mergeCell ref="M456:M457"/>
    <mergeCell ref="N456:N457"/>
    <mergeCell ref="E456:E457"/>
    <mergeCell ref="F456:F457"/>
    <mergeCell ref="G456:G457"/>
    <mergeCell ref="H456:H457"/>
    <mergeCell ref="Q456:Q457"/>
    <mergeCell ref="R456:R457"/>
    <mergeCell ref="I456:I457"/>
    <mergeCell ref="J456:J457"/>
    <mergeCell ref="AC458:AC459"/>
    <mergeCell ref="AD458:AD459"/>
    <mergeCell ref="O456:O457"/>
    <mergeCell ref="P456:P457"/>
    <mergeCell ref="U456:U457"/>
    <mergeCell ref="V456:V457"/>
    <mergeCell ref="AC456:AC457"/>
    <mergeCell ref="AD456:AD457"/>
    <mergeCell ref="J464:J465"/>
    <mergeCell ref="K464:K465"/>
    <mergeCell ref="L464:L465"/>
    <mergeCell ref="M464:M465"/>
    <mergeCell ref="AG464:AG465"/>
    <mergeCell ref="V464:V465"/>
    <mergeCell ref="W464:W465"/>
    <mergeCell ref="X464:X465"/>
    <mergeCell ref="Y464:Y465"/>
    <mergeCell ref="Z464:Z465"/>
    <mergeCell ref="N464:N465"/>
    <mergeCell ref="O464:O465"/>
    <mergeCell ref="AC462:AC463"/>
    <mergeCell ref="AD462:AD463"/>
    <mergeCell ref="O462:O463"/>
    <mergeCell ref="P462:P463"/>
    <mergeCell ref="P464:P465"/>
    <mergeCell ref="Q464:Q465"/>
    <mergeCell ref="R464:R465"/>
    <mergeCell ref="S464:S465"/>
    <mergeCell ref="AE462:AE463"/>
    <mergeCell ref="AF462:AF463"/>
    <mergeCell ref="T464:T465"/>
    <mergeCell ref="U464:U465"/>
    <mergeCell ref="AA464:AA465"/>
    <mergeCell ref="AB464:AB465"/>
    <mergeCell ref="AC464:AC465"/>
    <mergeCell ref="AD464:AD465"/>
    <mergeCell ref="AE464:AE465"/>
    <mergeCell ref="AF464:AF465"/>
    <mergeCell ref="AG462:AG463"/>
    <mergeCell ref="E464:E465"/>
    <mergeCell ref="F464:F465"/>
    <mergeCell ref="G464:G465"/>
    <mergeCell ref="H464:H465"/>
    <mergeCell ref="I464:I465"/>
    <mergeCell ref="W462:W463"/>
    <mergeCell ref="X462:X463"/>
    <mergeCell ref="Y462:Y463"/>
    <mergeCell ref="Z462:Z463"/>
    <mergeCell ref="Q462:Q463"/>
    <mergeCell ref="R462:R463"/>
    <mergeCell ref="S462:S463"/>
    <mergeCell ref="T462:T463"/>
    <mergeCell ref="U462:U463"/>
    <mergeCell ref="V462:V463"/>
    <mergeCell ref="E462:E463"/>
    <mergeCell ref="F462:F463"/>
    <mergeCell ref="G462:G463"/>
    <mergeCell ref="H462:H463"/>
    <mergeCell ref="M462:M463"/>
    <mergeCell ref="N462:N463"/>
    <mergeCell ref="AF471:AF472"/>
    <mergeCell ref="T469:T470"/>
    <mergeCell ref="U469:U470"/>
    <mergeCell ref="V469:V470"/>
    <mergeCell ref="I462:I463"/>
    <mergeCell ref="J462:J463"/>
    <mergeCell ref="K462:K463"/>
    <mergeCell ref="L462:L463"/>
    <mergeCell ref="AA462:AA463"/>
    <mergeCell ref="AB462:AB463"/>
    <mergeCell ref="J469:J470"/>
    <mergeCell ref="K469:K470"/>
    <mergeCell ref="L469:L470"/>
    <mergeCell ref="M469:M470"/>
    <mergeCell ref="AG469:AG470"/>
    <mergeCell ref="O471:O472"/>
    <mergeCell ref="P471:P472"/>
    <mergeCell ref="U471:U472"/>
    <mergeCell ref="V471:V472"/>
    <mergeCell ref="AE471:AE472"/>
    <mergeCell ref="Z469:Z470"/>
    <mergeCell ref="AA469:AA470"/>
    <mergeCell ref="P469:P470"/>
    <mergeCell ref="Q469:Q470"/>
    <mergeCell ref="R469:R470"/>
    <mergeCell ref="S469:S470"/>
    <mergeCell ref="W469:W470"/>
    <mergeCell ref="X469:X470"/>
    <mergeCell ref="Y469:Y470"/>
    <mergeCell ref="AC467:AC468"/>
    <mergeCell ref="AD467:AD468"/>
    <mergeCell ref="Y467:Y468"/>
    <mergeCell ref="Z467:Z468"/>
    <mergeCell ref="AA467:AA468"/>
    <mergeCell ref="AB467:AB468"/>
    <mergeCell ref="AG467:AG468"/>
    <mergeCell ref="E469:E470"/>
    <mergeCell ref="F469:F470"/>
    <mergeCell ref="G469:G470"/>
    <mergeCell ref="H469:H470"/>
    <mergeCell ref="I469:I470"/>
    <mergeCell ref="W467:W468"/>
    <mergeCell ref="X467:X468"/>
    <mergeCell ref="N469:N470"/>
    <mergeCell ref="O469:O470"/>
    <mergeCell ref="E467:E468"/>
    <mergeCell ref="F467:F468"/>
    <mergeCell ref="G467:G468"/>
    <mergeCell ref="H467:H468"/>
    <mergeCell ref="S467:S468"/>
    <mergeCell ref="T467:T468"/>
    <mergeCell ref="Q467:Q468"/>
    <mergeCell ref="R467:R468"/>
    <mergeCell ref="K467:K468"/>
    <mergeCell ref="L467:L468"/>
    <mergeCell ref="I467:I468"/>
    <mergeCell ref="J467:J468"/>
    <mergeCell ref="AB469:AB470"/>
    <mergeCell ref="AC469:AC470"/>
    <mergeCell ref="O467:O468"/>
    <mergeCell ref="P467:P468"/>
    <mergeCell ref="U467:U468"/>
    <mergeCell ref="V467:V468"/>
    <mergeCell ref="M467:M468"/>
    <mergeCell ref="N467:N468"/>
    <mergeCell ref="AE467:AE468"/>
    <mergeCell ref="AF467:AF468"/>
    <mergeCell ref="AG480:AG481"/>
    <mergeCell ref="AB474:AB475"/>
    <mergeCell ref="AC474:AC475"/>
    <mergeCell ref="AD474:AD475"/>
    <mergeCell ref="AE474:AE475"/>
    <mergeCell ref="AF474:AF475"/>
    <mergeCell ref="AG474:AG475"/>
    <mergeCell ref="AG477:AG478"/>
    <mergeCell ref="AC480:AC481"/>
    <mergeCell ref="T474:T475"/>
    <mergeCell ref="U474:U475"/>
    <mergeCell ref="V474:V475"/>
    <mergeCell ref="W474:W475"/>
    <mergeCell ref="X474:X475"/>
    <mergeCell ref="Y474:Y475"/>
    <mergeCell ref="Z474:Z475"/>
    <mergeCell ref="AA474:AA475"/>
    <mergeCell ref="Y480:Y481"/>
    <mergeCell ref="P474:P475"/>
    <mergeCell ref="Q474:Q475"/>
    <mergeCell ref="R474:R475"/>
    <mergeCell ref="S474:S475"/>
    <mergeCell ref="J474:J475"/>
    <mergeCell ref="K474:K475"/>
    <mergeCell ref="L474:L475"/>
    <mergeCell ref="M474:M475"/>
    <mergeCell ref="AC471:AC472"/>
    <mergeCell ref="AD471:AD472"/>
    <mergeCell ref="Y471:Y472"/>
    <mergeCell ref="Z471:Z472"/>
    <mergeCell ref="AA471:AA472"/>
    <mergeCell ref="AB471:AB472"/>
    <mergeCell ref="AG471:AG472"/>
    <mergeCell ref="E474:E475"/>
    <mergeCell ref="F474:F475"/>
    <mergeCell ref="G474:G475"/>
    <mergeCell ref="H474:H475"/>
    <mergeCell ref="I474:I475"/>
    <mergeCell ref="W471:W472"/>
    <mergeCell ref="X471:X472"/>
    <mergeCell ref="N474:N475"/>
    <mergeCell ref="O474:O475"/>
    <mergeCell ref="G471:G472"/>
    <mergeCell ref="H471:H472"/>
    <mergeCell ref="S471:S472"/>
    <mergeCell ref="T471:T472"/>
    <mergeCell ref="Q471:Q472"/>
    <mergeCell ref="R471:R472"/>
    <mergeCell ref="K471:K472"/>
    <mergeCell ref="L471:L472"/>
    <mergeCell ref="M471:M472"/>
    <mergeCell ref="N471:N472"/>
    <mergeCell ref="Z477:Z478"/>
    <mergeCell ref="AC477:AC478"/>
    <mergeCell ref="V477:V478"/>
    <mergeCell ref="X477:X478"/>
    <mergeCell ref="Y477:Y478"/>
    <mergeCell ref="I477:I478"/>
    <mergeCell ref="J477:J478"/>
    <mergeCell ref="K477:K478"/>
    <mergeCell ref="AD477:AD478"/>
    <mergeCell ref="AE477:AE478"/>
    <mergeCell ref="AF477:AF478"/>
    <mergeCell ref="J491:J492"/>
    <mergeCell ref="K491:K492"/>
    <mergeCell ref="AB483:AB484"/>
    <mergeCell ref="AC483:AC484"/>
    <mergeCell ref="N491:N492"/>
    <mergeCell ref="AA477:AA478"/>
    <mergeCell ref="AB477:AB478"/>
    <mergeCell ref="Q477:Q478"/>
    <mergeCell ref="R477:R478"/>
    <mergeCell ref="S477:S478"/>
    <mergeCell ref="T477:T478"/>
    <mergeCell ref="U477:U478"/>
    <mergeCell ref="A480:A482"/>
    <mergeCell ref="B480:B482"/>
    <mergeCell ref="C480:C482"/>
    <mergeCell ref="D480:D481"/>
    <mergeCell ref="N477:N478"/>
    <mergeCell ref="A417:A479"/>
    <mergeCell ref="B417:B479"/>
    <mergeCell ref="C417:C479"/>
    <mergeCell ref="D417:D418"/>
    <mergeCell ref="E480:E481"/>
    <mergeCell ref="I471:I472"/>
    <mergeCell ref="J471:J472"/>
    <mergeCell ref="E471:E472"/>
    <mergeCell ref="F471:F472"/>
    <mergeCell ref="E477:E478"/>
    <mergeCell ref="F477:F478"/>
    <mergeCell ref="G477:G478"/>
    <mergeCell ref="H477:H478"/>
    <mergeCell ref="L477:L478"/>
    <mergeCell ref="M477:M478"/>
    <mergeCell ref="AF480:AF481"/>
    <mergeCell ref="AD469:AD470"/>
    <mergeCell ref="AE469:AE470"/>
    <mergeCell ref="AF469:AF470"/>
    <mergeCell ref="O477:O478"/>
    <mergeCell ref="P477:P478"/>
    <mergeCell ref="W477:W478"/>
    <mergeCell ref="O480:O481"/>
    <mergeCell ref="P480:P481"/>
    <mergeCell ref="Q480:Q481"/>
    <mergeCell ref="L495:L496"/>
    <mergeCell ref="M495:M496"/>
    <mergeCell ref="A483:A490"/>
    <mergeCell ref="H495:H496"/>
    <mergeCell ref="I495:I496"/>
    <mergeCell ref="J495:J496"/>
    <mergeCell ref="B483:B490"/>
    <mergeCell ref="C483:C490"/>
    <mergeCell ref="D483:D484"/>
    <mergeCell ref="Y491:Y492"/>
    <mergeCell ref="Z491:Z492"/>
    <mergeCell ref="E483:E484"/>
    <mergeCell ref="F483:F484"/>
    <mergeCell ref="G483:G484"/>
    <mergeCell ref="AD480:AD481"/>
    <mergeCell ref="R480:R481"/>
    <mergeCell ref="T480:T481"/>
    <mergeCell ref="U480:U481"/>
    <mergeCell ref="V480:V481"/>
    <mergeCell ref="X491:X492"/>
    <mergeCell ref="F480:F481"/>
    <mergeCell ref="G480:G481"/>
    <mergeCell ref="H480:H481"/>
    <mergeCell ref="I480:I481"/>
    <mergeCell ref="O491:O492"/>
    <mergeCell ref="W480:W481"/>
    <mergeCell ref="X480:X481"/>
    <mergeCell ref="K480:K481"/>
    <mergeCell ref="X483:X484"/>
    <mergeCell ref="Y483:Y484"/>
    <mergeCell ref="AA483:AA484"/>
    <mergeCell ref="Z480:Z481"/>
    <mergeCell ref="AA480:AA481"/>
    <mergeCell ref="R491:R492"/>
    <mergeCell ref="T491:T492"/>
    <mergeCell ref="U491:U492"/>
    <mergeCell ref="V491:V492"/>
    <mergeCell ref="AB480:AB481"/>
    <mergeCell ref="H483:H484"/>
    <mergeCell ref="L480:L481"/>
    <mergeCell ref="M480:M481"/>
    <mergeCell ref="N480:N481"/>
    <mergeCell ref="J480:J481"/>
    <mergeCell ref="F491:F492"/>
    <mergeCell ref="G491:G492"/>
    <mergeCell ref="H491:H492"/>
    <mergeCell ref="I491:I492"/>
    <mergeCell ref="L491:L492"/>
    <mergeCell ref="M491:M492"/>
    <mergeCell ref="AE495:AE496"/>
    <mergeCell ref="AF495:AF496"/>
    <mergeCell ref="AD483:AD484"/>
    <mergeCell ref="AD493:AD494"/>
    <mergeCell ref="AF491:AF492"/>
    <mergeCell ref="AD495:AD496"/>
    <mergeCell ref="AF493:AF494"/>
    <mergeCell ref="AD497:AD498"/>
    <mergeCell ref="AE497:AE498"/>
    <mergeCell ref="AG483:AG484"/>
    <mergeCell ref="A491:A522"/>
    <mergeCell ref="B491:B522"/>
    <mergeCell ref="C491:C522"/>
    <mergeCell ref="D491:D492"/>
    <mergeCell ref="E491:E492"/>
    <mergeCell ref="V483:V484"/>
    <mergeCell ref="W483:W484"/>
    <mergeCell ref="Z493:Z494"/>
    <mergeCell ref="T483:T484"/>
    <mergeCell ref="U483:U484"/>
    <mergeCell ref="Q491:Q492"/>
    <mergeCell ref="I483:I484"/>
    <mergeCell ref="J483:J484"/>
    <mergeCell ref="K483:K484"/>
    <mergeCell ref="L483:L484"/>
    <mergeCell ref="O483:O484"/>
    <mergeCell ref="P483:P484"/>
    <mergeCell ref="M483:M484"/>
    <mergeCell ref="N483:N484"/>
    <mergeCell ref="P491:P492"/>
    <mergeCell ref="W495:W496"/>
    <mergeCell ref="O495:O496"/>
    <mergeCell ref="Q493:Q494"/>
    <mergeCell ref="R493:R494"/>
    <mergeCell ref="Q483:Q484"/>
    <mergeCell ref="R483:R484"/>
    <mergeCell ref="W491:W492"/>
    <mergeCell ref="AG491:AG492"/>
    <mergeCell ref="AA491:AA492"/>
    <mergeCell ref="AB491:AB492"/>
    <mergeCell ref="AC491:AC492"/>
    <mergeCell ref="AD491:AD492"/>
    <mergeCell ref="Z483:Z484"/>
    <mergeCell ref="AF483:AF484"/>
    <mergeCell ref="AG495:AG496"/>
    <mergeCell ref="E497:E498"/>
    <mergeCell ref="F497:F498"/>
    <mergeCell ref="G497:G498"/>
    <mergeCell ref="H497:H498"/>
    <mergeCell ref="I497:I498"/>
    <mergeCell ref="J497:J498"/>
    <mergeCell ref="X495:X496"/>
    <mergeCell ref="Y495:Y496"/>
    <mergeCell ref="N495:N496"/>
    <mergeCell ref="AA495:AA496"/>
    <mergeCell ref="AB495:AB496"/>
    <mergeCell ref="AC495:AC496"/>
    <mergeCell ref="R495:R496"/>
    <mergeCell ref="S495:S496"/>
    <mergeCell ref="T495:T496"/>
    <mergeCell ref="U495:U496"/>
    <mergeCell ref="V495:V496"/>
    <mergeCell ref="Z495:Z496"/>
    <mergeCell ref="AG493:AG494"/>
    <mergeCell ref="E495:E496"/>
    <mergeCell ref="F495:F496"/>
    <mergeCell ref="G495:G496"/>
    <mergeCell ref="K495:K496"/>
    <mergeCell ref="Y493:Y494"/>
    <mergeCell ref="M493:M494"/>
    <mergeCell ref="N493:N494"/>
    <mergeCell ref="O493:O494"/>
    <mergeCell ref="P493:P494"/>
    <mergeCell ref="AA493:AA494"/>
    <mergeCell ref="AB493:AB494"/>
    <mergeCell ref="AC493:AC494"/>
    <mergeCell ref="O497:O498"/>
    <mergeCell ref="P497:P498"/>
    <mergeCell ref="U497:U498"/>
    <mergeCell ref="V497:V498"/>
    <mergeCell ref="AC497:AC498"/>
    <mergeCell ref="S493:S494"/>
    <mergeCell ref="T493:T494"/>
    <mergeCell ref="K493:K494"/>
    <mergeCell ref="L493:L494"/>
    <mergeCell ref="U493:U494"/>
    <mergeCell ref="V493:V494"/>
    <mergeCell ref="W493:W494"/>
    <mergeCell ref="X493:X494"/>
    <mergeCell ref="E493:E494"/>
    <mergeCell ref="F493:F494"/>
    <mergeCell ref="G493:G494"/>
    <mergeCell ref="H493:H494"/>
    <mergeCell ref="I493:I494"/>
    <mergeCell ref="J493:J494"/>
    <mergeCell ref="AE499:AE500"/>
    <mergeCell ref="P495:P496"/>
    <mergeCell ref="Q495:Q496"/>
    <mergeCell ref="AE493:AE494"/>
    <mergeCell ref="AB499:AB500"/>
    <mergeCell ref="AC499:AC500"/>
    <mergeCell ref="AD499:AD500"/>
    <mergeCell ref="Q499:Q500"/>
    <mergeCell ref="R499:R500"/>
    <mergeCell ref="S499:S500"/>
    <mergeCell ref="O501:O502"/>
    <mergeCell ref="P501:P502"/>
    <mergeCell ref="E501:E502"/>
    <mergeCell ref="F501:F502"/>
    <mergeCell ref="G501:G502"/>
    <mergeCell ref="H501:H502"/>
    <mergeCell ref="I501:I502"/>
    <mergeCell ref="J501:J502"/>
    <mergeCell ref="K501:K502"/>
    <mergeCell ref="L501:L502"/>
    <mergeCell ref="O499:O500"/>
    <mergeCell ref="P499:P500"/>
    <mergeCell ref="AG499:AG500"/>
    <mergeCell ref="V499:V500"/>
    <mergeCell ref="W499:W500"/>
    <mergeCell ref="X499:X500"/>
    <mergeCell ref="Y499:Y500"/>
    <mergeCell ref="Z499:Z500"/>
    <mergeCell ref="AA499:AA500"/>
    <mergeCell ref="AF499:AF500"/>
    <mergeCell ref="Y497:Y498"/>
    <mergeCell ref="Z497:Z498"/>
    <mergeCell ref="AF497:AF498"/>
    <mergeCell ref="T499:T500"/>
    <mergeCell ref="U499:U500"/>
    <mergeCell ref="J499:J500"/>
    <mergeCell ref="K499:K500"/>
    <mergeCell ref="L499:L500"/>
    <mergeCell ref="M499:M500"/>
    <mergeCell ref="N499:N500"/>
    <mergeCell ref="K497:K498"/>
    <mergeCell ref="L497:L498"/>
    <mergeCell ref="M497:M498"/>
    <mergeCell ref="N497:N498"/>
    <mergeCell ref="AG497:AG498"/>
    <mergeCell ref="E499:E500"/>
    <mergeCell ref="F499:F500"/>
    <mergeCell ref="G499:G500"/>
    <mergeCell ref="H499:H500"/>
    <mergeCell ref="I499:I500"/>
    <mergeCell ref="AE501:AE502"/>
    <mergeCell ref="AF501:AF502"/>
    <mergeCell ref="AA497:AA498"/>
    <mergeCell ref="AB497:AB498"/>
    <mergeCell ref="Q497:Q498"/>
    <mergeCell ref="R497:R498"/>
    <mergeCell ref="S497:S498"/>
    <mergeCell ref="T497:T498"/>
    <mergeCell ref="W497:W498"/>
    <mergeCell ref="X497:X498"/>
    <mergeCell ref="T503:T504"/>
    <mergeCell ref="U503:U504"/>
    <mergeCell ref="Z503:Z504"/>
    <mergeCell ref="AA503:AA504"/>
    <mergeCell ref="AC501:AC502"/>
    <mergeCell ref="AD501:AD502"/>
    <mergeCell ref="AB503:AB504"/>
    <mergeCell ref="AC503:AC504"/>
    <mergeCell ref="AG501:AG502"/>
    <mergeCell ref="E503:E504"/>
    <mergeCell ref="F503:F504"/>
    <mergeCell ref="G503:G504"/>
    <mergeCell ref="H503:H504"/>
    <mergeCell ref="I503:I504"/>
    <mergeCell ref="W501:W502"/>
    <mergeCell ref="X501:X502"/>
    <mergeCell ref="AB501:AB502"/>
    <mergeCell ref="Q501:Q502"/>
    <mergeCell ref="R501:R502"/>
    <mergeCell ref="S501:S502"/>
    <mergeCell ref="T501:T502"/>
    <mergeCell ref="U501:U502"/>
    <mergeCell ref="V501:V502"/>
    <mergeCell ref="AA501:AA502"/>
    <mergeCell ref="E507:E508"/>
    <mergeCell ref="F507:F508"/>
    <mergeCell ref="G507:G508"/>
    <mergeCell ref="H507:H508"/>
    <mergeCell ref="I507:I508"/>
    <mergeCell ref="W505:W506"/>
    <mergeCell ref="X505:X506"/>
    <mergeCell ref="Y501:Y502"/>
    <mergeCell ref="Z501:Z502"/>
    <mergeCell ref="K505:K506"/>
    <mergeCell ref="L505:L506"/>
    <mergeCell ref="M505:M506"/>
    <mergeCell ref="N505:N506"/>
    <mergeCell ref="M501:M502"/>
    <mergeCell ref="N501:N502"/>
    <mergeCell ref="Z505:Z506"/>
    <mergeCell ref="AC505:AC506"/>
    <mergeCell ref="AD505:AD506"/>
    <mergeCell ref="AA505:AA506"/>
    <mergeCell ref="AB505:AB506"/>
    <mergeCell ref="Q505:Q506"/>
    <mergeCell ref="R505:R506"/>
    <mergeCell ref="S505:S506"/>
    <mergeCell ref="T505:T506"/>
    <mergeCell ref="E505:E506"/>
    <mergeCell ref="F505:F506"/>
    <mergeCell ref="G505:G506"/>
    <mergeCell ref="H505:H506"/>
    <mergeCell ref="AD503:AD504"/>
    <mergeCell ref="AE503:AE504"/>
    <mergeCell ref="O505:O506"/>
    <mergeCell ref="P505:P506"/>
    <mergeCell ref="R503:R504"/>
    <mergeCell ref="S503:S504"/>
    <mergeCell ref="I505:I506"/>
    <mergeCell ref="J505:J506"/>
    <mergeCell ref="P503:P504"/>
    <mergeCell ref="Q503:Q504"/>
    <mergeCell ref="J503:J504"/>
    <mergeCell ref="K503:K504"/>
    <mergeCell ref="L503:L504"/>
    <mergeCell ref="M503:M504"/>
    <mergeCell ref="N503:N504"/>
    <mergeCell ref="O503:O504"/>
    <mergeCell ref="AC507:AC508"/>
    <mergeCell ref="AD507:AD508"/>
    <mergeCell ref="AE507:AE508"/>
    <mergeCell ref="AF503:AF504"/>
    <mergeCell ref="AG503:AG504"/>
    <mergeCell ref="V503:V504"/>
    <mergeCell ref="W503:W504"/>
    <mergeCell ref="X503:X504"/>
    <mergeCell ref="Y503:Y504"/>
    <mergeCell ref="Y505:Y506"/>
    <mergeCell ref="AC509:AC510"/>
    <mergeCell ref="AD509:AD510"/>
    <mergeCell ref="R507:R508"/>
    <mergeCell ref="S507:S508"/>
    <mergeCell ref="T507:T508"/>
    <mergeCell ref="U507:U508"/>
    <mergeCell ref="AB509:AB510"/>
    <mergeCell ref="U509:U510"/>
    <mergeCell ref="V509:V510"/>
    <mergeCell ref="AB507:AB508"/>
    <mergeCell ref="J507:J508"/>
    <mergeCell ref="K507:K508"/>
    <mergeCell ref="L507:L508"/>
    <mergeCell ref="M507:M508"/>
    <mergeCell ref="AF507:AF508"/>
    <mergeCell ref="AG507:AG508"/>
    <mergeCell ref="V507:V508"/>
    <mergeCell ref="W507:W508"/>
    <mergeCell ref="X507:X508"/>
    <mergeCell ref="Y507:Y508"/>
    <mergeCell ref="AE505:AE506"/>
    <mergeCell ref="AF505:AF506"/>
    <mergeCell ref="U505:U506"/>
    <mergeCell ref="V505:V506"/>
    <mergeCell ref="N507:N508"/>
    <mergeCell ref="O507:O508"/>
    <mergeCell ref="P507:P508"/>
    <mergeCell ref="Q507:Q508"/>
    <mergeCell ref="Z507:Z508"/>
    <mergeCell ref="AA507:AA508"/>
    <mergeCell ref="AG505:AG506"/>
    <mergeCell ref="Z511:Z512"/>
    <mergeCell ref="AA511:AA512"/>
    <mergeCell ref="AB511:AB512"/>
    <mergeCell ref="AC511:AC512"/>
    <mergeCell ref="AD511:AD512"/>
    <mergeCell ref="AE511:AE512"/>
    <mergeCell ref="AF511:AF512"/>
    <mergeCell ref="AG511:AG512"/>
    <mergeCell ref="AE509:AE510"/>
    <mergeCell ref="V511:V512"/>
    <mergeCell ref="W511:W512"/>
    <mergeCell ref="X511:X512"/>
    <mergeCell ref="Y511:Y512"/>
    <mergeCell ref="P511:P512"/>
    <mergeCell ref="Q511:Q512"/>
    <mergeCell ref="R511:R512"/>
    <mergeCell ref="S511:S512"/>
    <mergeCell ref="AF509:AF510"/>
    <mergeCell ref="T511:T512"/>
    <mergeCell ref="U511:U512"/>
    <mergeCell ref="J511:J512"/>
    <mergeCell ref="K511:K512"/>
    <mergeCell ref="L511:L512"/>
    <mergeCell ref="M511:M512"/>
    <mergeCell ref="N511:N512"/>
    <mergeCell ref="O511:O512"/>
    <mergeCell ref="K509:K510"/>
    <mergeCell ref="AG509:AG510"/>
    <mergeCell ref="E511:E512"/>
    <mergeCell ref="F511:F512"/>
    <mergeCell ref="G511:G512"/>
    <mergeCell ref="H511:H512"/>
    <mergeCell ref="I511:I512"/>
    <mergeCell ref="W509:W510"/>
    <mergeCell ref="X509:X510"/>
    <mergeCell ref="Y509:Y510"/>
    <mergeCell ref="Z509:Z510"/>
    <mergeCell ref="N509:N510"/>
    <mergeCell ref="AA509:AA510"/>
    <mergeCell ref="Q509:Q510"/>
    <mergeCell ref="R509:R510"/>
    <mergeCell ref="S509:S510"/>
    <mergeCell ref="T509:T510"/>
    <mergeCell ref="O509:O510"/>
    <mergeCell ref="P509:P510"/>
    <mergeCell ref="E509:E510"/>
    <mergeCell ref="F509:F510"/>
    <mergeCell ref="G509:G510"/>
    <mergeCell ref="H509:H510"/>
    <mergeCell ref="L509:L510"/>
    <mergeCell ref="M509:M510"/>
    <mergeCell ref="I509:I510"/>
    <mergeCell ref="J509:J510"/>
    <mergeCell ref="AC513:AC514"/>
    <mergeCell ref="AD513:AD514"/>
    <mergeCell ref="M513:M514"/>
    <mergeCell ref="N513:N514"/>
    <mergeCell ref="Q513:Q514"/>
    <mergeCell ref="R513:R514"/>
    <mergeCell ref="S513:S514"/>
    <mergeCell ref="T513:T514"/>
    <mergeCell ref="U515:U516"/>
    <mergeCell ref="Z515:Z516"/>
    <mergeCell ref="AA515:AA516"/>
    <mergeCell ref="AB515:AB516"/>
    <mergeCell ref="AC515:AC516"/>
    <mergeCell ref="AA513:AA514"/>
    <mergeCell ref="AB513:AB514"/>
    <mergeCell ref="W513:W514"/>
    <mergeCell ref="X513:X514"/>
    <mergeCell ref="Y513:Y514"/>
    <mergeCell ref="Z513:Z514"/>
    <mergeCell ref="AE513:AE514"/>
    <mergeCell ref="AF513:AF514"/>
    <mergeCell ref="U513:U514"/>
    <mergeCell ref="V513:V514"/>
    <mergeCell ref="O513:O514"/>
    <mergeCell ref="P513:P514"/>
    <mergeCell ref="AG513:AG514"/>
    <mergeCell ref="E515:E516"/>
    <mergeCell ref="F515:F516"/>
    <mergeCell ref="G515:G516"/>
    <mergeCell ref="H515:H516"/>
    <mergeCell ref="I515:I516"/>
    <mergeCell ref="K513:K514"/>
    <mergeCell ref="L513:L514"/>
    <mergeCell ref="E513:E514"/>
    <mergeCell ref="F513:F514"/>
    <mergeCell ref="G513:G514"/>
    <mergeCell ref="H513:H514"/>
    <mergeCell ref="E519:E520"/>
    <mergeCell ref="F519:F520"/>
    <mergeCell ref="G519:G520"/>
    <mergeCell ref="H519:H520"/>
    <mergeCell ref="I513:I514"/>
    <mergeCell ref="J513:J514"/>
    <mergeCell ref="I519:I520"/>
    <mergeCell ref="K517:K518"/>
    <mergeCell ref="L517:L518"/>
    <mergeCell ref="M517:M518"/>
    <mergeCell ref="I517:I518"/>
    <mergeCell ref="J517:J518"/>
    <mergeCell ref="J519:J520"/>
    <mergeCell ref="K519:K520"/>
    <mergeCell ref="L519:L520"/>
    <mergeCell ref="M519:M520"/>
    <mergeCell ref="R515:R516"/>
    <mergeCell ref="S515:S516"/>
    <mergeCell ref="W517:W518"/>
    <mergeCell ref="X517:X518"/>
    <mergeCell ref="N517:N518"/>
    <mergeCell ref="S517:S518"/>
    <mergeCell ref="T517:T518"/>
    <mergeCell ref="Q517:Q518"/>
    <mergeCell ref="R517:R518"/>
    <mergeCell ref="T515:T516"/>
    <mergeCell ref="E517:E518"/>
    <mergeCell ref="F517:F518"/>
    <mergeCell ref="G517:G518"/>
    <mergeCell ref="H517:H518"/>
    <mergeCell ref="AD515:AD516"/>
    <mergeCell ref="AE515:AE516"/>
    <mergeCell ref="O517:O518"/>
    <mergeCell ref="P517:P518"/>
    <mergeCell ref="P515:P516"/>
    <mergeCell ref="Q515:Q516"/>
    <mergeCell ref="J515:J516"/>
    <mergeCell ref="K515:K516"/>
    <mergeCell ref="L515:L516"/>
    <mergeCell ref="M515:M516"/>
    <mergeCell ref="AF515:AF516"/>
    <mergeCell ref="AG515:AG516"/>
    <mergeCell ref="V515:V516"/>
    <mergeCell ref="W515:W516"/>
    <mergeCell ref="X515:X516"/>
    <mergeCell ref="Y515:Y516"/>
    <mergeCell ref="N515:N516"/>
    <mergeCell ref="O515:O516"/>
    <mergeCell ref="AF523:AF524"/>
    <mergeCell ref="AG523:AG524"/>
    <mergeCell ref="AB519:AB520"/>
    <mergeCell ref="AC519:AC520"/>
    <mergeCell ref="AD519:AD520"/>
    <mergeCell ref="AE519:AE520"/>
    <mergeCell ref="AF519:AF520"/>
    <mergeCell ref="AG519:AG520"/>
    <mergeCell ref="AG521:AG522"/>
    <mergeCell ref="AF521:AF522"/>
    <mergeCell ref="T519:T520"/>
    <mergeCell ref="U519:U520"/>
    <mergeCell ref="V519:V520"/>
    <mergeCell ref="W519:W520"/>
    <mergeCell ref="X519:X520"/>
    <mergeCell ref="Y519:Y520"/>
    <mergeCell ref="Z519:Z520"/>
    <mergeCell ref="AA519:AA520"/>
    <mergeCell ref="AA517:AA518"/>
    <mergeCell ref="AB517:AB518"/>
    <mergeCell ref="U517:U518"/>
    <mergeCell ref="V517:V518"/>
    <mergeCell ref="P519:P520"/>
    <mergeCell ref="Q519:Q520"/>
    <mergeCell ref="R519:R520"/>
    <mergeCell ref="S519:S520"/>
    <mergeCell ref="AG517:AG518"/>
    <mergeCell ref="X521:X522"/>
    <mergeCell ref="Y521:Y522"/>
    <mergeCell ref="Z521:Z522"/>
    <mergeCell ref="AC521:AC522"/>
    <mergeCell ref="AD521:AD522"/>
    <mergeCell ref="AE521:AE522"/>
    <mergeCell ref="AA521:AA522"/>
    <mergeCell ref="AC517:AC518"/>
    <mergeCell ref="AD517:AD518"/>
    <mergeCell ref="A523:A527"/>
    <mergeCell ref="B523:B527"/>
    <mergeCell ref="C523:C527"/>
    <mergeCell ref="D523:D524"/>
    <mergeCell ref="AE517:AE518"/>
    <mergeCell ref="AF517:AF518"/>
    <mergeCell ref="N519:N520"/>
    <mergeCell ref="O519:O520"/>
    <mergeCell ref="Y517:Y518"/>
    <mergeCell ref="Z517:Z518"/>
    <mergeCell ref="P523:P524"/>
    <mergeCell ref="Q523:Q524"/>
    <mergeCell ref="F523:F524"/>
    <mergeCell ref="G523:G524"/>
    <mergeCell ref="M521:M522"/>
    <mergeCell ref="N521:N522"/>
    <mergeCell ref="O521:O522"/>
    <mergeCell ref="P521:P522"/>
    <mergeCell ref="AB521:AB522"/>
    <mergeCell ref="Q521:Q522"/>
    <mergeCell ref="R521:R522"/>
    <mergeCell ref="S521:S522"/>
    <mergeCell ref="T521:T522"/>
    <mergeCell ref="U521:U522"/>
    <mergeCell ref="V521:V522"/>
    <mergeCell ref="W521:W522"/>
    <mergeCell ref="K521:K522"/>
    <mergeCell ref="L521:L522"/>
    <mergeCell ref="E521:E522"/>
    <mergeCell ref="F521:F522"/>
    <mergeCell ref="G521:G522"/>
    <mergeCell ref="H521:H522"/>
    <mergeCell ref="E530:E531"/>
    <mergeCell ref="F530:F531"/>
    <mergeCell ref="G530:G531"/>
    <mergeCell ref="H530:H531"/>
    <mergeCell ref="I521:I522"/>
    <mergeCell ref="J521:J522"/>
    <mergeCell ref="E523:E524"/>
    <mergeCell ref="F528:F529"/>
    <mergeCell ref="J534:J535"/>
    <mergeCell ref="I530:I531"/>
    <mergeCell ref="G528:G529"/>
    <mergeCell ref="H528:H529"/>
    <mergeCell ref="I528:I529"/>
    <mergeCell ref="AA523:AA524"/>
    <mergeCell ref="AB523:AB524"/>
    <mergeCell ref="J528:J529"/>
    <mergeCell ref="K528:K529"/>
    <mergeCell ref="L528:L529"/>
    <mergeCell ref="A528:A547"/>
    <mergeCell ref="B528:B547"/>
    <mergeCell ref="C528:C547"/>
    <mergeCell ref="D528:D529"/>
    <mergeCell ref="E528:E529"/>
    <mergeCell ref="M528:M529"/>
    <mergeCell ref="N528:N529"/>
    <mergeCell ref="Z528:Z529"/>
    <mergeCell ref="AA528:AA529"/>
    <mergeCell ref="O528:O529"/>
    <mergeCell ref="P528:P529"/>
    <mergeCell ref="X528:X529"/>
    <mergeCell ref="Y528:Y529"/>
    <mergeCell ref="AC523:AC524"/>
    <mergeCell ref="AD523:AD524"/>
    <mergeCell ref="R523:R524"/>
    <mergeCell ref="T523:T524"/>
    <mergeCell ref="U523:U524"/>
    <mergeCell ref="V523:V524"/>
    <mergeCell ref="W523:W524"/>
    <mergeCell ref="X523:X524"/>
    <mergeCell ref="Y523:Y524"/>
    <mergeCell ref="Z523:Z524"/>
    <mergeCell ref="H523:H524"/>
    <mergeCell ref="I523:I524"/>
    <mergeCell ref="J523:J524"/>
    <mergeCell ref="K523:K524"/>
    <mergeCell ref="N523:N524"/>
    <mergeCell ref="O523:O524"/>
    <mergeCell ref="L523:L524"/>
    <mergeCell ref="M523:M524"/>
    <mergeCell ref="AC538:AC539"/>
    <mergeCell ref="AD538:AD539"/>
    <mergeCell ref="P530:P531"/>
    <mergeCell ref="Q530:Q531"/>
    <mergeCell ref="R530:R531"/>
    <mergeCell ref="S530:S531"/>
    <mergeCell ref="AD528:AD529"/>
    <mergeCell ref="W528:W529"/>
    <mergeCell ref="AF530:AF531"/>
    <mergeCell ref="AB542:AB543"/>
    <mergeCell ref="AC542:AC543"/>
    <mergeCell ref="AD542:AD543"/>
    <mergeCell ref="AC530:AC531"/>
    <mergeCell ref="AD530:AD531"/>
    <mergeCell ref="AB534:AB535"/>
    <mergeCell ref="AC534:AC535"/>
    <mergeCell ref="AD534:AD535"/>
    <mergeCell ref="V528:V529"/>
    <mergeCell ref="AG530:AG531"/>
    <mergeCell ref="V530:V531"/>
    <mergeCell ref="W530:W531"/>
    <mergeCell ref="X530:X531"/>
    <mergeCell ref="Y530:Y531"/>
    <mergeCell ref="Z530:Z531"/>
    <mergeCell ref="AA530:AA531"/>
    <mergeCell ref="AB530:AB531"/>
    <mergeCell ref="AE530:AE531"/>
    <mergeCell ref="U530:U531"/>
    <mergeCell ref="J530:J531"/>
    <mergeCell ref="K530:K531"/>
    <mergeCell ref="L530:L531"/>
    <mergeCell ref="M530:M531"/>
    <mergeCell ref="N530:N531"/>
    <mergeCell ref="O530:O531"/>
    <mergeCell ref="AE534:AE535"/>
    <mergeCell ref="AF534:AF535"/>
    <mergeCell ref="AB528:AB529"/>
    <mergeCell ref="AC528:AC529"/>
    <mergeCell ref="Q528:Q529"/>
    <mergeCell ref="R528:R529"/>
    <mergeCell ref="T528:T529"/>
    <mergeCell ref="U528:U529"/>
    <mergeCell ref="AF528:AF529"/>
    <mergeCell ref="T530:T531"/>
    <mergeCell ref="R534:R535"/>
    <mergeCell ref="S534:S535"/>
    <mergeCell ref="AG528:AG529"/>
    <mergeCell ref="AG534:AG535"/>
    <mergeCell ref="V534:V535"/>
    <mergeCell ref="W534:W535"/>
    <mergeCell ref="X534:X535"/>
    <mergeCell ref="Y534:Y535"/>
    <mergeCell ref="Z534:Z535"/>
    <mergeCell ref="AA534:AA535"/>
    <mergeCell ref="K534:K535"/>
    <mergeCell ref="L534:L535"/>
    <mergeCell ref="M534:M535"/>
    <mergeCell ref="N534:N535"/>
    <mergeCell ref="P534:P535"/>
    <mergeCell ref="Q534:Q535"/>
    <mergeCell ref="AG532:AG533"/>
    <mergeCell ref="Z532:Z533"/>
    <mergeCell ref="AA532:AA533"/>
    <mergeCell ref="AB532:AB533"/>
    <mergeCell ref="U532:U533"/>
    <mergeCell ref="V532:V533"/>
    <mergeCell ref="AC532:AC533"/>
    <mergeCell ref="AD532:AD533"/>
    <mergeCell ref="AE532:AE533"/>
    <mergeCell ref="E534:E535"/>
    <mergeCell ref="F534:F535"/>
    <mergeCell ref="G534:G535"/>
    <mergeCell ref="H534:H535"/>
    <mergeCell ref="AF532:AF533"/>
    <mergeCell ref="T534:T535"/>
    <mergeCell ref="U534:U535"/>
    <mergeCell ref="O534:O535"/>
    <mergeCell ref="O532:O533"/>
    <mergeCell ref="P532:P533"/>
    <mergeCell ref="E532:E533"/>
    <mergeCell ref="F532:F533"/>
    <mergeCell ref="G532:G533"/>
    <mergeCell ref="H532:H533"/>
    <mergeCell ref="I534:I535"/>
    <mergeCell ref="W532:W533"/>
    <mergeCell ref="M532:M533"/>
    <mergeCell ref="N532:N533"/>
    <mergeCell ref="Q532:Q533"/>
    <mergeCell ref="R532:R533"/>
    <mergeCell ref="AE538:AE539"/>
    <mergeCell ref="AF538:AF539"/>
    <mergeCell ref="I532:I533"/>
    <mergeCell ref="J532:J533"/>
    <mergeCell ref="K532:K533"/>
    <mergeCell ref="L532:L533"/>
    <mergeCell ref="X532:X533"/>
    <mergeCell ref="Y532:Y533"/>
    <mergeCell ref="S532:S533"/>
    <mergeCell ref="T532:T533"/>
    <mergeCell ref="R538:R539"/>
    <mergeCell ref="S538:S539"/>
    <mergeCell ref="AG538:AG539"/>
    <mergeCell ref="V538:V539"/>
    <mergeCell ref="W538:W539"/>
    <mergeCell ref="X538:X539"/>
    <mergeCell ref="Y538:Y539"/>
    <mergeCell ref="Z538:Z539"/>
    <mergeCell ref="AA538:AA539"/>
    <mergeCell ref="AB538:AB539"/>
    <mergeCell ref="J538:J539"/>
    <mergeCell ref="K538:K539"/>
    <mergeCell ref="L538:L539"/>
    <mergeCell ref="M538:M539"/>
    <mergeCell ref="P538:P539"/>
    <mergeCell ref="Q538:Q539"/>
    <mergeCell ref="AE536:AE537"/>
    <mergeCell ref="AF536:AF537"/>
    <mergeCell ref="T538:T539"/>
    <mergeCell ref="U538:U539"/>
    <mergeCell ref="N538:N539"/>
    <mergeCell ref="O538:O539"/>
    <mergeCell ref="AC536:AC537"/>
    <mergeCell ref="AD536:AD537"/>
    <mergeCell ref="O536:O537"/>
    <mergeCell ref="P536:P537"/>
    <mergeCell ref="AG536:AG537"/>
    <mergeCell ref="E538:E539"/>
    <mergeCell ref="F538:F539"/>
    <mergeCell ref="G538:G539"/>
    <mergeCell ref="H538:H539"/>
    <mergeCell ref="I538:I539"/>
    <mergeCell ref="W536:W537"/>
    <mergeCell ref="X536:X537"/>
    <mergeCell ref="Y536:Y537"/>
    <mergeCell ref="Z536:Z537"/>
    <mergeCell ref="N536:N537"/>
    <mergeCell ref="AA536:AA537"/>
    <mergeCell ref="AB536:AB537"/>
    <mergeCell ref="Q536:Q537"/>
    <mergeCell ref="R536:R537"/>
    <mergeCell ref="S536:S537"/>
    <mergeCell ref="T536:T537"/>
    <mergeCell ref="U536:U537"/>
    <mergeCell ref="V536:V537"/>
    <mergeCell ref="AF542:AF543"/>
    <mergeCell ref="I536:I537"/>
    <mergeCell ref="J536:J537"/>
    <mergeCell ref="K536:K537"/>
    <mergeCell ref="L536:L537"/>
    <mergeCell ref="E536:E537"/>
    <mergeCell ref="F536:F537"/>
    <mergeCell ref="G536:G537"/>
    <mergeCell ref="H536:H537"/>
    <mergeCell ref="M536:M537"/>
    <mergeCell ref="R542:R543"/>
    <mergeCell ref="S542:S543"/>
    <mergeCell ref="AG542:AG543"/>
    <mergeCell ref="V542:V543"/>
    <mergeCell ref="W542:W543"/>
    <mergeCell ref="X542:X543"/>
    <mergeCell ref="Y542:Y543"/>
    <mergeCell ref="Z542:Z543"/>
    <mergeCell ref="AA542:AA543"/>
    <mergeCell ref="AE542:AE543"/>
    <mergeCell ref="J542:J543"/>
    <mergeCell ref="K542:K543"/>
    <mergeCell ref="L542:L543"/>
    <mergeCell ref="M542:M543"/>
    <mergeCell ref="P542:P543"/>
    <mergeCell ref="Q542:Q543"/>
    <mergeCell ref="AE540:AE541"/>
    <mergeCell ref="AF540:AF541"/>
    <mergeCell ref="T542:T543"/>
    <mergeCell ref="U542:U543"/>
    <mergeCell ref="N542:N543"/>
    <mergeCell ref="O542:O543"/>
    <mergeCell ref="AC540:AC541"/>
    <mergeCell ref="AD540:AD541"/>
    <mergeCell ref="O540:O541"/>
    <mergeCell ref="P540:P541"/>
    <mergeCell ref="AG540:AG541"/>
    <mergeCell ref="E542:E543"/>
    <mergeCell ref="F542:F543"/>
    <mergeCell ref="G542:G543"/>
    <mergeCell ref="H542:H543"/>
    <mergeCell ref="I542:I543"/>
    <mergeCell ref="W540:W541"/>
    <mergeCell ref="X540:X541"/>
    <mergeCell ref="Y540:Y541"/>
    <mergeCell ref="Z540:Z541"/>
    <mergeCell ref="M540:M541"/>
    <mergeCell ref="N540:N541"/>
    <mergeCell ref="AA540:AA541"/>
    <mergeCell ref="AB540:AB541"/>
    <mergeCell ref="Q540:Q541"/>
    <mergeCell ref="R540:R541"/>
    <mergeCell ref="S540:S541"/>
    <mergeCell ref="T540:T541"/>
    <mergeCell ref="U540:U541"/>
    <mergeCell ref="V540:V541"/>
    <mergeCell ref="I540:I541"/>
    <mergeCell ref="J540:J541"/>
    <mergeCell ref="K540:K541"/>
    <mergeCell ref="L540:L541"/>
    <mergeCell ref="E540:E541"/>
    <mergeCell ref="F540:F541"/>
    <mergeCell ref="G540:G541"/>
    <mergeCell ref="H540:H541"/>
    <mergeCell ref="AG546:AG547"/>
    <mergeCell ref="V546:V547"/>
    <mergeCell ref="W546:W547"/>
    <mergeCell ref="X546:X547"/>
    <mergeCell ref="Y546:Y547"/>
    <mergeCell ref="Z546:Z547"/>
    <mergeCell ref="AA546:AA547"/>
    <mergeCell ref="AB546:AB547"/>
    <mergeCell ref="AC546:AC547"/>
    <mergeCell ref="AD546:AD547"/>
    <mergeCell ref="N546:N547"/>
    <mergeCell ref="O546:O547"/>
    <mergeCell ref="AC544:AC545"/>
    <mergeCell ref="AD544:AD545"/>
    <mergeCell ref="Y544:Y545"/>
    <mergeCell ref="Z544:Z545"/>
    <mergeCell ref="AA544:AA545"/>
    <mergeCell ref="AB544:AB545"/>
    <mergeCell ref="Q544:Q545"/>
    <mergeCell ref="R544:R545"/>
    <mergeCell ref="AE544:AE545"/>
    <mergeCell ref="AF544:AF545"/>
    <mergeCell ref="AG544:AG545"/>
    <mergeCell ref="E546:E547"/>
    <mergeCell ref="F546:F547"/>
    <mergeCell ref="G546:G547"/>
    <mergeCell ref="H546:H547"/>
    <mergeCell ref="I546:I547"/>
    <mergeCell ref="W544:W545"/>
    <mergeCell ref="X544:X545"/>
    <mergeCell ref="U544:U545"/>
    <mergeCell ref="V544:V545"/>
    <mergeCell ref="O544:O545"/>
    <mergeCell ref="P544:P545"/>
    <mergeCell ref="M544:M545"/>
    <mergeCell ref="N544:N545"/>
    <mergeCell ref="S544:S545"/>
    <mergeCell ref="T544:T545"/>
    <mergeCell ref="I544:I545"/>
    <mergeCell ref="J544:J545"/>
    <mergeCell ref="K544:K545"/>
    <mergeCell ref="L544:L545"/>
    <mergeCell ref="E544:E545"/>
    <mergeCell ref="F544:F545"/>
    <mergeCell ref="G544:G545"/>
    <mergeCell ref="H544:H545"/>
    <mergeCell ref="O548:O549"/>
    <mergeCell ref="P548:P549"/>
    <mergeCell ref="T548:T549"/>
    <mergeCell ref="U548:U549"/>
    <mergeCell ref="V548:V549"/>
    <mergeCell ref="W548:W549"/>
    <mergeCell ref="AB548:AB549"/>
    <mergeCell ref="AC548:AC549"/>
    <mergeCell ref="AD548:AD549"/>
    <mergeCell ref="AF548:AF549"/>
    <mergeCell ref="X548:X549"/>
    <mergeCell ref="Y548:Y549"/>
    <mergeCell ref="AE546:AE547"/>
    <mergeCell ref="AF546:AF547"/>
    <mergeCell ref="P546:P547"/>
    <mergeCell ref="Q546:Q547"/>
    <mergeCell ref="R546:R547"/>
    <mergeCell ref="S546:S547"/>
    <mergeCell ref="T546:T547"/>
    <mergeCell ref="U546:U547"/>
    <mergeCell ref="M546:M547"/>
    <mergeCell ref="E548:E549"/>
    <mergeCell ref="F548:F549"/>
    <mergeCell ref="Q548:Q549"/>
    <mergeCell ref="R548:R549"/>
    <mergeCell ref="G548:G549"/>
    <mergeCell ref="H548:H549"/>
    <mergeCell ref="M548:M549"/>
    <mergeCell ref="N548:N549"/>
    <mergeCell ref="I548:I549"/>
    <mergeCell ref="K554:K555"/>
    <mergeCell ref="K552:K553"/>
    <mergeCell ref="L552:L553"/>
    <mergeCell ref="J546:J547"/>
    <mergeCell ref="K546:K547"/>
    <mergeCell ref="L546:L547"/>
    <mergeCell ref="J548:J549"/>
    <mergeCell ref="K548:K549"/>
    <mergeCell ref="L548:L549"/>
    <mergeCell ref="N550:N551"/>
    <mergeCell ref="O550:O551"/>
    <mergeCell ref="Q552:Q553"/>
    <mergeCell ref="AG552:AG553"/>
    <mergeCell ref="E554:E555"/>
    <mergeCell ref="F554:F555"/>
    <mergeCell ref="G554:G555"/>
    <mergeCell ref="H554:H555"/>
    <mergeCell ref="I554:I555"/>
    <mergeCell ref="J554:J555"/>
    <mergeCell ref="A548:A555"/>
    <mergeCell ref="B548:B555"/>
    <mergeCell ref="C548:C555"/>
    <mergeCell ref="D548:D549"/>
    <mergeCell ref="P550:P551"/>
    <mergeCell ref="Q550:Q551"/>
    <mergeCell ref="M552:M553"/>
    <mergeCell ref="N552:N553"/>
    <mergeCell ref="O552:O553"/>
    <mergeCell ref="P552:P553"/>
    <mergeCell ref="AF559:AF560"/>
    <mergeCell ref="AG559:AG560"/>
    <mergeCell ref="E561:E562"/>
    <mergeCell ref="F561:F562"/>
    <mergeCell ref="L559:L560"/>
    <mergeCell ref="M559:M560"/>
    <mergeCell ref="Q561:Q562"/>
    <mergeCell ref="R561:R562"/>
    <mergeCell ref="AC559:AC560"/>
    <mergeCell ref="AD559:AD560"/>
    <mergeCell ref="U552:U553"/>
    <mergeCell ref="V552:V553"/>
    <mergeCell ref="AB550:AB551"/>
    <mergeCell ref="R550:R551"/>
    <mergeCell ref="S550:S551"/>
    <mergeCell ref="S552:S553"/>
    <mergeCell ref="T552:T553"/>
    <mergeCell ref="Y552:Y553"/>
    <mergeCell ref="Z552:Z553"/>
    <mergeCell ref="AF550:AF551"/>
    <mergeCell ref="AG550:AG551"/>
    <mergeCell ref="E552:E553"/>
    <mergeCell ref="F552:F553"/>
    <mergeCell ref="G552:G553"/>
    <mergeCell ref="H552:H553"/>
    <mergeCell ref="I552:I553"/>
    <mergeCell ref="J552:J553"/>
    <mergeCell ref="AD550:AD551"/>
    <mergeCell ref="R552:R553"/>
    <mergeCell ref="AE550:AE551"/>
    <mergeCell ref="T550:T551"/>
    <mergeCell ref="U550:U551"/>
    <mergeCell ref="V550:V551"/>
    <mergeCell ref="W550:W551"/>
    <mergeCell ref="X550:X551"/>
    <mergeCell ref="Y550:Y551"/>
    <mergeCell ref="Z550:Z551"/>
    <mergeCell ref="AA550:AA551"/>
    <mergeCell ref="AC550:AC551"/>
    <mergeCell ref="AG548:AG549"/>
    <mergeCell ref="E550:E551"/>
    <mergeCell ref="F550:F551"/>
    <mergeCell ref="G550:G551"/>
    <mergeCell ref="H550:H551"/>
    <mergeCell ref="I550:I551"/>
    <mergeCell ref="J550:J551"/>
    <mergeCell ref="K550:K551"/>
    <mergeCell ref="L550:L551"/>
    <mergeCell ref="M550:M551"/>
    <mergeCell ref="Z548:Z549"/>
    <mergeCell ref="AA548:AA549"/>
    <mergeCell ref="A556:A564"/>
    <mergeCell ref="B556:B564"/>
    <mergeCell ref="C556:C564"/>
    <mergeCell ref="D556:D558"/>
    <mergeCell ref="G556:G558"/>
    <mergeCell ref="H556:H558"/>
    <mergeCell ref="I556:I558"/>
    <mergeCell ref="Z554:Z555"/>
    <mergeCell ref="AA554:AA555"/>
    <mergeCell ref="AB554:AB555"/>
    <mergeCell ref="AC554:AC555"/>
    <mergeCell ref="E556:E558"/>
    <mergeCell ref="F556:F558"/>
    <mergeCell ref="X554:X555"/>
    <mergeCell ref="Y554:Y555"/>
    <mergeCell ref="R554:R555"/>
    <mergeCell ref="S554:S555"/>
    <mergeCell ref="L554:L555"/>
    <mergeCell ref="M554:M555"/>
    <mergeCell ref="N554:N555"/>
    <mergeCell ref="O554:O555"/>
    <mergeCell ref="T554:T555"/>
    <mergeCell ref="P554:P555"/>
    <mergeCell ref="Q554:Q555"/>
    <mergeCell ref="AE552:AE553"/>
    <mergeCell ref="AF552:AF553"/>
    <mergeCell ref="AA552:AA553"/>
    <mergeCell ref="AB552:AB553"/>
    <mergeCell ref="AC552:AC553"/>
    <mergeCell ref="AD552:AD553"/>
    <mergeCell ref="W552:W553"/>
    <mergeCell ref="X552:X553"/>
    <mergeCell ref="AG556:AG558"/>
    <mergeCell ref="E559:E560"/>
    <mergeCell ref="F559:F560"/>
    <mergeCell ref="G559:G560"/>
    <mergeCell ref="H559:H560"/>
    <mergeCell ref="I559:I560"/>
    <mergeCell ref="J559:J560"/>
    <mergeCell ref="P556:P558"/>
    <mergeCell ref="T556:T558"/>
    <mergeCell ref="J556:J558"/>
    <mergeCell ref="K556:K558"/>
    <mergeCell ref="L556:L558"/>
    <mergeCell ref="M556:M558"/>
    <mergeCell ref="N556:N558"/>
    <mergeCell ref="O556:O558"/>
    <mergeCell ref="Q556:Q558"/>
    <mergeCell ref="AD554:AD555"/>
    <mergeCell ref="AE554:AE555"/>
    <mergeCell ref="AF554:AF555"/>
    <mergeCell ref="AG554:AG555"/>
    <mergeCell ref="Z556:Z558"/>
    <mergeCell ref="AA556:AA558"/>
    <mergeCell ref="AB556:AB558"/>
    <mergeCell ref="AC556:AC558"/>
    <mergeCell ref="AD556:AD558"/>
    <mergeCell ref="AF556:AF558"/>
    <mergeCell ref="K565:K566"/>
    <mergeCell ref="P565:P566"/>
    <mergeCell ref="X556:X558"/>
    <mergeCell ref="U554:U555"/>
    <mergeCell ref="V554:V555"/>
    <mergeCell ref="W554:W555"/>
    <mergeCell ref="R556:R558"/>
    <mergeCell ref="U556:U558"/>
    <mergeCell ref="V556:V558"/>
    <mergeCell ref="W556:W558"/>
    <mergeCell ref="G561:G562"/>
    <mergeCell ref="H561:H562"/>
    <mergeCell ref="I561:I562"/>
    <mergeCell ref="J561:J562"/>
    <mergeCell ref="G565:G566"/>
    <mergeCell ref="H565:H566"/>
    <mergeCell ref="I565:I566"/>
    <mergeCell ref="J565:J566"/>
    <mergeCell ref="AE559:AE560"/>
    <mergeCell ref="K561:K562"/>
    <mergeCell ref="L561:L562"/>
    <mergeCell ref="Z559:Z560"/>
    <mergeCell ref="AA559:AA560"/>
    <mergeCell ref="T559:T560"/>
    <mergeCell ref="U559:U560"/>
    <mergeCell ref="V559:V560"/>
    <mergeCell ref="K559:K560"/>
    <mergeCell ref="N559:N560"/>
    <mergeCell ref="O559:O560"/>
    <mergeCell ref="P559:P560"/>
    <mergeCell ref="Q559:Q560"/>
    <mergeCell ref="AB559:AB560"/>
    <mergeCell ref="W559:W560"/>
    <mergeCell ref="X559:X560"/>
    <mergeCell ref="Y559:Y560"/>
    <mergeCell ref="Y556:Y558"/>
    <mergeCell ref="R559:R560"/>
    <mergeCell ref="S559:S560"/>
    <mergeCell ref="AD563:AD564"/>
    <mergeCell ref="W563:W564"/>
    <mergeCell ref="Z563:Z564"/>
    <mergeCell ref="AA563:AA564"/>
    <mergeCell ref="AB563:AB564"/>
    <mergeCell ref="AC563:AC564"/>
    <mergeCell ref="S561:S562"/>
    <mergeCell ref="AG563:AG564"/>
    <mergeCell ref="Q565:Q566"/>
    <mergeCell ref="R565:R566"/>
    <mergeCell ref="AC565:AC566"/>
    <mergeCell ref="AD565:AD566"/>
    <mergeCell ref="AF565:AF566"/>
    <mergeCell ref="U563:U564"/>
    <mergeCell ref="V563:V564"/>
    <mergeCell ref="Q563:Q564"/>
    <mergeCell ref="A565:A578"/>
    <mergeCell ref="B565:B578"/>
    <mergeCell ref="C565:C578"/>
    <mergeCell ref="D565:D566"/>
    <mergeCell ref="AE563:AE564"/>
    <mergeCell ref="AF563:AF564"/>
    <mergeCell ref="I569:I570"/>
    <mergeCell ref="J569:J570"/>
    <mergeCell ref="G569:G570"/>
    <mergeCell ref="P563:P564"/>
    <mergeCell ref="E565:E566"/>
    <mergeCell ref="F565:F566"/>
    <mergeCell ref="X563:X564"/>
    <mergeCell ref="Y563:Y564"/>
    <mergeCell ref="R563:R564"/>
    <mergeCell ref="S563:S564"/>
    <mergeCell ref="L565:L566"/>
    <mergeCell ref="M565:M566"/>
    <mergeCell ref="N565:N566"/>
    <mergeCell ref="O565:O566"/>
    <mergeCell ref="T561:T562"/>
    <mergeCell ref="L563:L564"/>
    <mergeCell ref="M563:M564"/>
    <mergeCell ref="N563:N564"/>
    <mergeCell ref="O563:O564"/>
    <mergeCell ref="T563:T564"/>
    <mergeCell ref="AE561:AE562"/>
    <mergeCell ref="AF561:AF562"/>
    <mergeCell ref="AA561:AA562"/>
    <mergeCell ref="AB561:AB562"/>
    <mergeCell ref="AC561:AC562"/>
    <mergeCell ref="AD561:AD562"/>
    <mergeCell ref="AG561:AG562"/>
    <mergeCell ref="E563:E564"/>
    <mergeCell ref="F563:F564"/>
    <mergeCell ref="G563:G564"/>
    <mergeCell ref="H563:H564"/>
    <mergeCell ref="I563:I564"/>
    <mergeCell ref="J563:J564"/>
    <mergeCell ref="K563:K564"/>
    <mergeCell ref="Y561:Y562"/>
    <mergeCell ref="Z561:Z562"/>
    <mergeCell ref="AF567:AF568"/>
    <mergeCell ref="AG567:AG568"/>
    <mergeCell ref="M561:M562"/>
    <mergeCell ref="N561:N562"/>
    <mergeCell ref="O561:O562"/>
    <mergeCell ref="P561:P562"/>
    <mergeCell ref="U561:U562"/>
    <mergeCell ref="V561:V562"/>
    <mergeCell ref="W561:W562"/>
    <mergeCell ref="X561:X562"/>
    <mergeCell ref="F569:F570"/>
    <mergeCell ref="X567:X568"/>
    <mergeCell ref="Y567:Y568"/>
    <mergeCell ref="N567:N568"/>
    <mergeCell ref="O567:O568"/>
    <mergeCell ref="P567:P568"/>
    <mergeCell ref="Q567:Q568"/>
    <mergeCell ref="R567:R568"/>
    <mergeCell ref="S567:S568"/>
    <mergeCell ref="AD567:AD568"/>
    <mergeCell ref="AE567:AE568"/>
    <mergeCell ref="T567:T568"/>
    <mergeCell ref="U567:U568"/>
    <mergeCell ref="V567:V568"/>
    <mergeCell ref="W567:W568"/>
    <mergeCell ref="Z567:Z568"/>
    <mergeCell ref="AA567:AA568"/>
    <mergeCell ref="AB567:AB568"/>
    <mergeCell ref="AC567:AC568"/>
    <mergeCell ref="AG565:AG566"/>
    <mergeCell ref="E567:E568"/>
    <mergeCell ref="F567:F568"/>
    <mergeCell ref="G567:G568"/>
    <mergeCell ref="H567:H568"/>
    <mergeCell ref="I567:I568"/>
    <mergeCell ref="J567:J568"/>
    <mergeCell ref="K567:K568"/>
    <mergeCell ref="L567:L568"/>
    <mergeCell ref="M567:M568"/>
    <mergeCell ref="AA565:AA566"/>
    <mergeCell ref="T565:T566"/>
    <mergeCell ref="U565:U566"/>
    <mergeCell ref="V565:V566"/>
    <mergeCell ref="W565:W566"/>
    <mergeCell ref="X565:X566"/>
    <mergeCell ref="Y565:Y566"/>
    <mergeCell ref="L571:L572"/>
    <mergeCell ref="M571:M572"/>
    <mergeCell ref="AB565:AB566"/>
    <mergeCell ref="AE569:AE570"/>
    <mergeCell ref="AF569:AF570"/>
    <mergeCell ref="AA569:AA570"/>
    <mergeCell ref="AB569:AB570"/>
    <mergeCell ref="AC569:AC570"/>
    <mergeCell ref="AD569:AD570"/>
    <mergeCell ref="Z565:Z566"/>
    <mergeCell ref="W569:W570"/>
    <mergeCell ref="X569:X570"/>
    <mergeCell ref="J571:J572"/>
    <mergeCell ref="K571:K572"/>
    <mergeCell ref="Y569:Y570"/>
    <mergeCell ref="Z569:Z570"/>
    <mergeCell ref="P571:P572"/>
    <mergeCell ref="Q571:Q572"/>
    <mergeCell ref="S569:S570"/>
    <mergeCell ref="T569:T570"/>
    <mergeCell ref="Q569:Q570"/>
    <mergeCell ref="R569:R570"/>
    <mergeCell ref="K569:K570"/>
    <mergeCell ref="L569:L570"/>
    <mergeCell ref="U569:U570"/>
    <mergeCell ref="V569:V570"/>
    <mergeCell ref="M569:M570"/>
    <mergeCell ref="N569:N570"/>
    <mergeCell ref="O569:O570"/>
    <mergeCell ref="P569:P570"/>
    <mergeCell ref="AG569:AG570"/>
    <mergeCell ref="E571:E572"/>
    <mergeCell ref="F571:F572"/>
    <mergeCell ref="G571:G572"/>
    <mergeCell ref="H571:H572"/>
    <mergeCell ref="I571:I572"/>
    <mergeCell ref="H569:H570"/>
    <mergeCell ref="E575:E576"/>
    <mergeCell ref="F575:F576"/>
    <mergeCell ref="G575:G576"/>
    <mergeCell ref="H575:H576"/>
    <mergeCell ref="E573:E574"/>
    <mergeCell ref="F573:F574"/>
    <mergeCell ref="G573:G574"/>
    <mergeCell ref="H573:H574"/>
    <mergeCell ref="E569:E570"/>
    <mergeCell ref="I575:I576"/>
    <mergeCell ref="W573:W574"/>
    <mergeCell ref="X573:X574"/>
    <mergeCell ref="K573:K574"/>
    <mergeCell ref="L573:L574"/>
    <mergeCell ref="M573:M574"/>
    <mergeCell ref="N573:N574"/>
    <mergeCell ref="O573:O574"/>
    <mergeCell ref="P573:P574"/>
    <mergeCell ref="I573:I574"/>
    <mergeCell ref="AA573:AA574"/>
    <mergeCell ref="AB573:AB574"/>
    <mergeCell ref="Q573:Q574"/>
    <mergeCell ref="R573:R574"/>
    <mergeCell ref="S573:S574"/>
    <mergeCell ref="T573:T574"/>
    <mergeCell ref="Z573:Z574"/>
    <mergeCell ref="U573:U574"/>
    <mergeCell ref="V573:V574"/>
    <mergeCell ref="AF571:AF572"/>
    <mergeCell ref="AG571:AG572"/>
    <mergeCell ref="AD571:AD572"/>
    <mergeCell ref="AE571:AE572"/>
    <mergeCell ref="Z571:Z572"/>
    <mergeCell ref="AA571:AA572"/>
    <mergeCell ref="AB571:AB572"/>
    <mergeCell ref="AC571:AC572"/>
    <mergeCell ref="U571:U572"/>
    <mergeCell ref="V571:V572"/>
    <mergeCell ref="W571:W572"/>
    <mergeCell ref="Y573:Y574"/>
    <mergeCell ref="R571:R572"/>
    <mergeCell ref="S571:S572"/>
    <mergeCell ref="AB575:AB576"/>
    <mergeCell ref="AC575:AC576"/>
    <mergeCell ref="AD575:AD576"/>
    <mergeCell ref="AE575:AE576"/>
    <mergeCell ref="J573:J574"/>
    <mergeCell ref="X571:X572"/>
    <mergeCell ref="Y571:Y572"/>
    <mergeCell ref="N571:N572"/>
    <mergeCell ref="O571:O572"/>
    <mergeCell ref="T571:T572"/>
    <mergeCell ref="Z575:Z576"/>
    <mergeCell ref="AA575:AA576"/>
    <mergeCell ref="P579:P581"/>
    <mergeCell ref="Q579:Q581"/>
    <mergeCell ref="AC579:AC581"/>
    <mergeCell ref="AD579:AD581"/>
    <mergeCell ref="R579:R581"/>
    <mergeCell ref="T579:T581"/>
    <mergeCell ref="AA579:AA581"/>
    <mergeCell ref="AB579:AB581"/>
    <mergeCell ref="P575:P576"/>
    <mergeCell ref="Q575:Q576"/>
    <mergeCell ref="R575:R576"/>
    <mergeCell ref="S575:S576"/>
    <mergeCell ref="AF575:AF576"/>
    <mergeCell ref="AG575:AG576"/>
    <mergeCell ref="V575:V576"/>
    <mergeCell ref="W575:W576"/>
    <mergeCell ref="X575:X576"/>
    <mergeCell ref="Y575:Y576"/>
    <mergeCell ref="AE573:AE574"/>
    <mergeCell ref="AF573:AF574"/>
    <mergeCell ref="T575:T576"/>
    <mergeCell ref="U575:U576"/>
    <mergeCell ref="J575:J576"/>
    <mergeCell ref="K575:K576"/>
    <mergeCell ref="L575:L576"/>
    <mergeCell ref="M575:M576"/>
    <mergeCell ref="N575:N576"/>
    <mergeCell ref="O575:O576"/>
    <mergeCell ref="A579:A584"/>
    <mergeCell ref="B579:B584"/>
    <mergeCell ref="C579:C584"/>
    <mergeCell ref="D579:D581"/>
    <mergeCell ref="AG573:AG574"/>
    <mergeCell ref="AE577:AE578"/>
    <mergeCell ref="AF577:AF578"/>
    <mergeCell ref="AG577:AG578"/>
    <mergeCell ref="AC573:AC574"/>
    <mergeCell ref="AD573:AD574"/>
    <mergeCell ref="E579:E581"/>
    <mergeCell ref="K577:K578"/>
    <mergeCell ref="L577:L578"/>
    <mergeCell ref="M577:M578"/>
    <mergeCell ref="E577:E578"/>
    <mergeCell ref="F577:F578"/>
    <mergeCell ref="G577:G578"/>
    <mergeCell ref="H577:H578"/>
    <mergeCell ref="I577:I578"/>
    <mergeCell ref="J577:J578"/>
    <mergeCell ref="O577:O578"/>
    <mergeCell ref="P577:P578"/>
    <mergeCell ref="N577:N578"/>
    <mergeCell ref="S577:S578"/>
    <mergeCell ref="T577:T578"/>
    <mergeCell ref="Q577:Q578"/>
    <mergeCell ref="R577:R578"/>
    <mergeCell ref="I583:I584"/>
    <mergeCell ref="J583:J584"/>
    <mergeCell ref="U579:U581"/>
    <mergeCell ref="V579:V581"/>
    <mergeCell ref="K583:K584"/>
    <mergeCell ref="L583:L584"/>
    <mergeCell ref="N579:N581"/>
    <mergeCell ref="O579:O581"/>
    <mergeCell ref="H579:H581"/>
    <mergeCell ref="I579:I581"/>
    <mergeCell ref="AF579:AF581"/>
    <mergeCell ref="AG579:AG581"/>
    <mergeCell ref="W579:W581"/>
    <mergeCell ref="X579:X581"/>
    <mergeCell ref="A585:A591"/>
    <mergeCell ref="B585:B591"/>
    <mergeCell ref="C585:C591"/>
    <mergeCell ref="D585:D587"/>
    <mergeCell ref="Y579:Y581"/>
    <mergeCell ref="Z579:Z581"/>
    <mergeCell ref="F579:F581"/>
    <mergeCell ref="G579:G581"/>
    <mergeCell ref="L579:L581"/>
    <mergeCell ref="M579:M581"/>
    <mergeCell ref="E585:E587"/>
    <mergeCell ref="F585:F587"/>
    <mergeCell ref="G585:G587"/>
    <mergeCell ref="W583:W584"/>
    <mergeCell ref="H585:H587"/>
    <mergeCell ref="I585:I587"/>
    <mergeCell ref="E583:E584"/>
    <mergeCell ref="F583:F584"/>
    <mergeCell ref="G583:G584"/>
    <mergeCell ref="H583:H584"/>
    <mergeCell ref="M583:M584"/>
    <mergeCell ref="N583:N584"/>
    <mergeCell ref="O583:O584"/>
    <mergeCell ref="P583:P584"/>
    <mergeCell ref="X583:X584"/>
    <mergeCell ref="Y583:Y584"/>
    <mergeCell ref="AC583:AC584"/>
    <mergeCell ref="AD583:AD584"/>
    <mergeCell ref="S583:S584"/>
    <mergeCell ref="T583:T584"/>
    <mergeCell ref="U583:U584"/>
    <mergeCell ref="V583:V584"/>
    <mergeCell ref="AB583:AB584"/>
    <mergeCell ref="Z583:Z584"/>
    <mergeCell ref="AA583:AA584"/>
    <mergeCell ref="W577:W578"/>
    <mergeCell ref="X577:X578"/>
    <mergeCell ref="Q583:Q584"/>
    <mergeCell ref="R583:R584"/>
    <mergeCell ref="U577:U578"/>
    <mergeCell ref="V577:V578"/>
    <mergeCell ref="AC577:AC578"/>
    <mergeCell ref="AD577:AD578"/>
    <mergeCell ref="Y577:Y578"/>
    <mergeCell ref="Z577:Z578"/>
    <mergeCell ref="AA577:AA578"/>
    <mergeCell ref="AB577:AB578"/>
    <mergeCell ref="K588:K589"/>
    <mergeCell ref="L588:L589"/>
    <mergeCell ref="AF594:AF595"/>
    <mergeCell ref="AG594:AG595"/>
    <mergeCell ref="P590:P591"/>
    <mergeCell ref="Q590:Q591"/>
    <mergeCell ref="R590:R591"/>
    <mergeCell ref="S590:S591"/>
    <mergeCell ref="V590:V591"/>
    <mergeCell ref="W590:W591"/>
    <mergeCell ref="J579:J581"/>
    <mergeCell ref="K579:K581"/>
    <mergeCell ref="AA585:AA587"/>
    <mergeCell ref="AB585:AB587"/>
    <mergeCell ref="J585:J587"/>
    <mergeCell ref="K585:K587"/>
    <mergeCell ref="L585:L587"/>
    <mergeCell ref="M585:M587"/>
    <mergeCell ref="N585:N587"/>
    <mergeCell ref="O585:O587"/>
    <mergeCell ref="AC585:AC587"/>
    <mergeCell ref="AD585:AD587"/>
    <mergeCell ref="P585:P587"/>
    <mergeCell ref="Q585:Q587"/>
    <mergeCell ref="R585:R587"/>
    <mergeCell ref="T585:T587"/>
    <mergeCell ref="U585:U587"/>
    <mergeCell ref="V585:V587"/>
    <mergeCell ref="W585:W587"/>
    <mergeCell ref="X585:X587"/>
    <mergeCell ref="Y585:Y587"/>
    <mergeCell ref="Z585:Z587"/>
    <mergeCell ref="AE583:AE584"/>
    <mergeCell ref="AF583:AF584"/>
    <mergeCell ref="AG583:AG584"/>
    <mergeCell ref="AD590:AD591"/>
    <mergeCell ref="AE590:AE591"/>
    <mergeCell ref="AF590:AF591"/>
    <mergeCell ref="AG590:AG591"/>
    <mergeCell ref="AG588:AG589"/>
    <mergeCell ref="AF585:AF587"/>
    <mergeCell ref="AG585:AG587"/>
    <mergeCell ref="T590:T591"/>
    <mergeCell ref="U590:U591"/>
    <mergeCell ref="A592:A595"/>
    <mergeCell ref="B592:B595"/>
    <mergeCell ref="AB598:AB599"/>
    <mergeCell ref="AC598:AC599"/>
    <mergeCell ref="C592:C595"/>
    <mergeCell ref="D592:D593"/>
    <mergeCell ref="E592:E593"/>
    <mergeCell ref="F592:F593"/>
    <mergeCell ref="AB590:AB591"/>
    <mergeCell ref="AC590:AC591"/>
    <mergeCell ref="AC588:AC589"/>
    <mergeCell ref="AD588:AD589"/>
    <mergeCell ref="AE588:AE589"/>
    <mergeCell ref="AF588:AF589"/>
    <mergeCell ref="E590:E591"/>
    <mergeCell ref="F590:F591"/>
    <mergeCell ref="G590:G591"/>
    <mergeCell ref="H590:H591"/>
    <mergeCell ref="Z590:Z591"/>
    <mergeCell ref="AA590:AA591"/>
    <mergeCell ref="X590:X591"/>
    <mergeCell ref="Y590:Y591"/>
    <mergeCell ref="J590:J591"/>
    <mergeCell ref="K590:K591"/>
    <mergeCell ref="I590:I591"/>
    <mergeCell ref="W588:W589"/>
    <mergeCell ref="X588:X589"/>
    <mergeCell ref="Y588:Y589"/>
    <mergeCell ref="I588:I589"/>
    <mergeCell ref="J588:J589"/>
    <mergeCell ref="L590:L591"/>
    <mergeCell ref="M590:M591"/>
    <mergeCell ref="N590:N591"/>
    <mergeCell ref="O590:O591"/>
    <mergeCell ref="V588:V589"/>
    <mergeCell ref="Z588:Z589"/>
    <mergeCell ref="M588:M589"/>
    <mergeCell ref="N588:N589"/>
    <mergeCell ref="AA588:AA589"/>
    <mergeCell ref="O588:O589"/>
    <mergeCell ref="P588:P589"/>
    <mergeCell ref="E588:E589"/>
    <mergeCell ref="F588:F589"/>
    <mergeCell ref="G588:G589"/>
    <mergeCell ref="H588:H589"/>
    <mergeCell ref="AB588:AB589"/>
    <mergeCell ref="Q588:Q589"/>
    <mergeCell ref="R588:R589"/>
    <mergeCell ref="S588:S589"/>
    <mergeCell ref="T588:T589"/>
    <mergeCell ref="U588:U589"/>
    <mergeCell ref="AD594:AD595"/>
    <mergeCell ref="AE594:AE595"/>
    <mergeCell ref="T594:T595"/>
    <mergeCell ref="U594:U595"/>
    <mergeCell ref="V594:V595"/>
    <mergeCell ref="W594:W595"/>
    <mergeCell ref="X594:X595"/>
    <mergeCell ref="Y594:Y595"/>
    <mergeCell ref="Z594:Z595"/>
    <mergeCell ref="AA594:AA595"/>
    <mergeCell ref="AG592:AG593"/>
    <mergeCell ref="E594:E595"/>
    <mergeCell ref="F594:F595"/>
    <mergeCell ref="G594:G595"/>
    <mergeCell ref="H594:H595"/>
    <mergeCell ref="I594:I595"/>
    <mergeCell ref="J594:J595"/>
    <mergeCell ref="K594:K595"/>
    <mergeCell ref="L594:L595"/>
    <mergeCell ref="M594:M595"/>
    <mergeCell ref="T592:T593"/>
    <mergeCell ref="U592:U593"/>
    <mergeCell ref="V592:V593"/>
    <mergeCell ref="W592:W593"/>
    <mergeCell ref="X592:X593"/>
    <mergeCell ref="Y592:Y593"/>
    <mergeCell ref="AD592:AD593"/>
    <mergeCell ref="AF592:AF593"/>
    <mergeCell ref="Q592:Q593"/>
    <mergeCell ref="R592:R593"/>
    <mergeCell ref="O592:O593"/>
    <mergeCell ref="P592:P593"/>
    <mergeCell ref="AB592:AB593"/>
    <mergeCell ref="AC592:AC593"/>
    <mergeCell ref="Z592:Z593"/>
    <mergeCell ref="AA592:AA593"/>
    <mergeCell ref="K592:K593"/>
    <mergeCell ref="L592:L593"/>
    <mergeCell ref="M592:M593"/>
    <mergeCell ref="N592:N593"/>
    <mergeCell ref="G592:G593"/>
    <mergeCell ref="H592:H593"/>
    <mergeCell ref="I592:I593"/>
    <mergeCell ref="J592:J593"/>
    <mergeCell ref="I598:I599"/>
    <mergeCell ref="I596:I597"/>
    <mergeCell ref="J596:J597"/>
    <mergeCell ref="K596:K597"/>
    <mergeCell ref="E598:E599"/>
    <mergeCell ref="F598:F599"/>
    <mergeCell ref="G598:G599"/>
    <mergeCell ref="H598:H599"/>
    <mergeCell ref="L596:L597"/>
    <mergeCell ref="Q596:Q597"/>
    <mergeCell ref="R596:R597"/>
    <mergeCell ref="O596:O597"/>
    <mergeCell ref="P596:P597"/>
    <mergeCell ref="M596:M597"/>
    <mergeCell ref="N596:N597"/>
    <mergeCell ref="E596:E597"/>
    <mergeCell ref="F596:F597"/>
    <mergeCell ref="G596:G597"/>
    <mergeCell ref="H596:H597"/>
    <mergeCell ref="A596:A601"/>
    <mergeCell ref="B596:B601"/>
    <mergeCell ref="C596:C601"/>
    <mergeCell ref="D596:D597"/>
    <mergeCell ref="AB594:AB595"/>
    <mergeCell ref="AC594:AC595"/>
    <mergeCell ref="N594:N595"/>
    <mergeCell ref="O594:O595"/>
    <mergeCell ref="P594:P595"/>
    <mergeCell ref="Q594:Q595"/>
    <mergeCell ref="R594:R595"/>
    <mergeCell ref="S594:S595"/>
    <mergeCell ref="Q604:Q605"/>
    <mergeCell ref="R604:R605"/>
    <mergeCell ref="AF602:AF603"/>
    <mergeCell ref="AG602:AG603"/>
    <mergeCell ref="W604:W605"/>
    <mergeCell ref="X604:X605"/>
    <mergeCell ref="Y602:Y603"/>
    <mergeCell ref="Z602:Z603"/>
    <mergeCell ref="AA604:AA605"/>
    <mergeCell ref="AB604:AB605"/>
    <mergeCell ref="J598:J599"/>
    <mergeCell ref="K598:K599"/>
    <mergeCell ref="L598:L599"/>
    <mergeCell ref="M598:M599"/>
    <mergeCell ref="T598:T599"/>
    <mergeCell ref="U598:U599"/>
    <mergeCell ref="Z598:Z599"/>
    <mergeCell ref="AA598:AA599"/>
    <mergeCell ref="P598:P599"/>
    <mergeCell ref="Q598:Q599"/>
    <mergeCell ref="R598:R599"/>
    <mergeCell ref="S598:S599"/>
    <mergeCell ref="X598:X599"/>
    <mergeCell ref="Y598:Y599"/>
    <mergeCell ref="V598:V599"/>
    <mergeCell ref="W598:W599"/>
    <mergeCell ref="V596:V597"/>
    <mergeCell ref="W596:W597"/>
    <mergeCell ref="N598:N599"/>
    <mergeCell ref="O598:O599"/>
    <mergeCell ref="T596:T597"/>
    <mergeCell ref="U596:U597"/>
    <mergeCell ref="AG596:AG597"/>
    <mergeCell ref="AE600:AE601"/>
    <mergeCell ref="AF600:AF601"/>
    <mergeCell ref="AG600:AG601"/>
    <mergeCell ref="AB596:AB597"/>
    <mergeCell ref="AC596:AC597"/>
    <mergeCell ref="AD598:AD599"/>
    <mergeCell ref="AE598:AE599"/>
    <mergeCell ref="AF598:AF599"/>
    <mergeCell ref="AG598:AG599"/>
    <mergeCell ref="P602:P603"/>
    <mergeCell ref="Q602:Q603"/>
    <mergeCell ref="W602:W603"/>
    <mergeCell ref="X602:X603"/>
    <mergeCell ref="AD596:AD597"/>
    <mergeCell ref="AF596:AF597"/>
    <mergeCell ref="X596:X597"/>
    <mergeCell ref="Y596:Y597"/>
    <mergeCell ref="Z596:Z597"/>
    <mergeCell ref="AA596:AA597"/>
    <mergeCell ref="F600:F601"/>
    <mergeCell ref="G600:G601"/>
    <mergeCell ref="H600:H601"/>
    <mergeCell ref="I600:I601"/>
    <mergeCell ref="J600:J601"/>
    <mergeCell ref="A602:A609"/>
    <mergeCell ref="B602:B609"/>
    <mergeCell ref="C602:C609"/>
    <mergeCell ref="D602:D603"/>
    <mergeCell ref="M600:M601"/>
    <mergeCell ref="N600:N601"/>
    <mergeCell ref="AA600:AA601"/>
    <mergeCell ref="O600:O601"/>
    <mergeCell ref="P600:P601"/>
    <mergeCell ref="E602:E603"/>
    <mergeCell ref="W600:W601"/>
    <mergeCell ref="X600:X601"/>
    <mergeCell ref="Y600:Y601"/>
    <mergeCell ref="E600:E601"/>
    <mergeCell ref="AB600:AB601"/>
    <mergeCell ref="Q600:Q601"/>
    <mergeCell ref="R600:R601"/>
    <mergeCell ref="S600:S601"/>
    <mergeCell ref="T600:T601"/>
    <mergeCell ref="U600:U601"/>
    <mergeCell ref="V600:V601"/>
    <mergeCell ref="Z600:Z601"/>
    <mergeCell ref="K600:K601"/>
    <mergeCell ref="L600:L601"/>
    <mergeCell ref="AG604:AG605"/>
    <mergeCell ref="E606:E607"/>
    <mergeCell ref="F606:F607"/>
    <mergeCell ref="G606:G607"/>
    <mergeCell ref="H606:H607"/>
    <mergeCell ref="I606:I607"/>
    <mergeCell ref="J606:J607"/>
    <mergeCell ref="K606:K607"/>
    <mergeCell ref="AC604:AC605"/>
    <mergeCell ref="AD604:AD605"/>
    <mergeCell ref="S604:S605"/>
    <mergeCell ref="T604:T605"/>
    <mergeCell ref="E604:E605"/>
    <mergeCell ref="F604:F605"/>
    <mergeCell ref="Y604:Y605"/>
    <mergeCell ref="Z604:Z605"/>
    <mergeCell ref="U604:U605"/>
    <mergeCell ref="V604:V605"/>
    <mergeCell ref="Q606:Q607"/>
    <mergeCell ref="E610:E612"/>
    <mergeCell ref="G604:G605"/>
    <mergeCell ref="H604:H605"/>
    <mergeCell ref="AE604:AE605"/>
    <mergeCell ref="AF604:AF605"/>
    <mergeCell ref="M604:M605"/>
    <mergeCell ref="N604:N605"/>
    <mergeCell ref="O604:O605"/>
    <mergeCell ref="P604:P605"/>
    <mergeCell ref="N602:N603"/>
    <mergeCell ref="O602:O603"/>
    <mergeCell ref="I613:I614"/>
    <mergeCell ref="J613:J614"/>
    <mergeCell ref="K613:K614"/>
    <mergeCell ref="L613:L614"/>
    <mergeCell ref="I604:I605"/>
    <mergeCell ref="J604:J605"/>
    <mergeCell ref="K604:K605"/>
    <mergeCell ref="L604:L605"/>
    <mergeCell ref="L602:L603"/>
    <mergeCell ref="M602:M603"/>
    <mergeCell ref="R602:R603"/>
    <mergeCell ref="T602:T603"/>
    <mergeCell ref="U602:U603"/>
    <mergeCell ref="V602:V603"/>
    <mergeCell ref="AA602:AA603"/>
    <mergeCell ref="AB602:AB603"/>
    <mergeCell ref="J602:J603"/>
    <mergeCell ref="K602:K603"/>
    <mergeCell ref="AC600:AC601"/>
    <mergeCell ref="AD600:AD601"/>
    <mergeCell ref="F602:F603"/>
    <mergeCell ref="G602:G603"/>
    <mergeCell ref="H602:H603"/>
    <mergeCell ref="I602:I603"/>
    <mergeCell ref="AC602:AC603"/>
    <mergeCell ref="AD602:AD603"/>
    <mergeCell ref="AF608:AF609"/>
    <mergeCell ref="AG608:AG609"/>
    <mergeCell ref="Z608:Z609"/>
    <mergeCell ref="AA608:AA609"/>
    <mergeCell ref="AB608:AB609"/>
    <mergeCell ref="AE608:AE609"/>
    <mergeCell ref="U608:U609"/>
    <mergeCell ref="V608:V609"/>
    <mergeCell ref="AF613:AF614"/>
    <mergeCell ref="AG613:AG614"/>
    <mergeCell ref="A610:A616"/>
    <mergeCell ref="B610:B616"/>
    <mergeCell ref="C610:C616"/>
    <mergeCell ref="D610:D612"/>
    <mergeCell ref="Z613:Z614"/>
    <mergeCell ref="E615:E616"/>
    <mergeCell ref="S606:S607"/>
    <mergeCell ref="K608:K609"/>
    <mergeCell ref="L608:L609"/>
    <mergeCell ref="M608:M609"/>
    <mergeCell ref="N608:N609"/>
    <mergeCell ref="N606:N607"/>
    <mergeCell ref="Q608:Q609"/>
    <mergeCell ref="R608:R609"/>
    <mergeCell ref="S608:S609"/>
    <mergeCell ref="P606:P607"/>
    <mergeCell ref="X606:X607"/>
    <mergeCell ref="Y606:Y607"/>
    <mergeCell ref="O608:O609"/>
    <mergeCell ref="P608:P609"/>
    <mergeCell ref="V606:V607"/>
    <mergeCell ref="W606:W607"/>
    <mergeCell ref="O606:O607"/>
    <mergeCell ref="T606:T607"/>
    <mergeCell ref="U606:U607"/>
    <mergeCell ref="R606:R607"/>
    <mergeCell ref="AD606:AD607"/>
    <mergeCell ref="AE606:AE607"/>
    <mergeCell ref="Z606:Z607"/>
    <mergeCell ref="AA606:AA607"/>
    <mergeCell ref="AB606:AB607"/>
    <mergeCell ref="AC606:AC607"/>
    <mergeCell ref="AF606:AF607"/>
    <mergeCell ref="AG606:AG607"/>
    <mergeCell ref="E608:E609"/>
    <mergeCell ref="F608:F609"/>
    <mergeCell ref="G608:G609"/>
    <mergeCell ref="H608:H609"/>
    <mergeCell ref="I608:I609"/>
    <mergeCell ref="J608:J609"/>
    <mergeCell ref="L606:L607"/>
    <mergeCell ref="M606:M607"/>
    <mergeCell ref="H610:H612"/>
    <mergeCell ref="I610:I612"/>
    <mergeCell ref="AF610:AF612"/>
    <mergeCell ref="AG610:AG612"/>
    <mergeCell ref="AC608:AC609"/>
    <mergeCell ref="AD608:AD609"/>
    <mergeCell ref="W608:W609"/>
    <mergeCell ref="X608:X609"/>
    <mergeCell ref="Y608:Y609"/>
    <mergeCell ref="T608:T609"/>
    <mergeCell ref="AD615:AD616"/>
    <mergeCell ref="AE615:AE616"/>
    <mergeCell ref="E613:E614"/>
    <mergeCell ref="F613:F614"/>
    <mergeCell ref="U610:U612"/>
    <mergeCell ref="V610:V612"/>
    <mergeCell ref="J610:J612"/>
    <mergeCell ref="K610:K612"/>
    <mergeCell ref="F610:F612"/>
    <mergeCell ref="G610:G612"/>
    <mergeCell ref="R610:R612"/>
    <mergeCell ref="T610:T612"/>
    <mergeCell ref="AG617:AG619"/>
    <mergeCell ref="Y610:Y612"/>
    <mergeCell ref="Z610:Z612"/>
    <mergeCell ref="AA610:AA612"/>
    <mergeCell ref="AB610:AB612"/>
    <mergeCell ref="AC610:AC612"/>
    <mergeCell ref="AD610:AD612"/>
    <mergeCell ref="AF615:AF616"/>
    <mergeCell ref="AB615:AB616"/>
    <mergeCell ref="AC615:AC616"/>
    <mergeCell ref="W610:W612"/>
    <mergeCell ref="X610:X612"/>
    <mergeCell ref="L610:L612"/>
    <mergeCell ref="M610:M612"/>
    <mergeCell ref="N610:N612"/>
    <mergeCell ref="O610:O612"/>
    <mergeCell ref="P610:P612"/>
    <mergeCell ref="Q610:Q612"/>
    <mergeCell ref="A617:A620"/>
    <mergeCell ref="B617:B620"/>
    <mergeCell ref="C617:C620"/>
    <mergeCell ref="D617:D619"/>
    <mergeCell ref="Z615:Z616"/>
    <mergeCell ref="AA615:AA616"/>
    <mergeCell ref="H615:H616"/>
    <mergeCell ref="F615:F616"/>
    <mergeCell ref="G615:G616"/>
    <mergeCell ref="E617:E619"/>
    <mergeCell ref="F617:F619"/>
    <mergeCell ref="X615:X616"/>
    <mergeCell ref="Y615:Y616"/>
    <mergeCell ref="R615:R616"/>
    <mergeCell ref="S615:S616"/>
    <mergeCell ref="T615:T616"/>
    <mergeCell ref="U615:U616"/>
    <mergeCell ref="V615:V616"/>
    <mergeCell ref="W615:W616"/>
    <mergeCell ref="I615:I616"/>
    <mergeCell ref="J615:J616"/>
    <mergeCell ref="K615:K616"/>
    <mergeCell ref="Y613:Y614"/>
    <mergeCell ref="N615:N616"/>
    <mergeCell ref="O615:O616"/>
    <mergeCell ref="P615:P616"/>
    <mergeCell ref="Q615:Q616"/>
    <mergeCell ref="L615:L616"/>
    <mergeCell ref="M615:M616"/>
    <mergeCell ref="AA613:AA614"/>
    <mergeCell ref="AB613:AB614"/>
    <mergeCell ref="AC613:AC614"/>
    <mergeCell ref="AD613:AD614"/>
    <mergeCell ref="G613:G614"/>
    <mergeCell ref="H613:H614"/>
    <mergeCell ref="U613:U614"/>
    <mergeCell ref="V613:V614"/>
    <mergeCell ref="I621:I622"/>
    <mergeCell ref="G621:G622"/>
    <mergeCell ref="W613:W614"/>
    <mergeCell ref="X613:X614"/>
    <mergeCell ref="M613:M614"/>
    <mergeCell ref="N613:N614"/>
    <mergeCell ref="O613:O614"/>
    <mergeCell ref="P613:P614"/>
    <mergeCell ref="Q613:Q614"/>
    <mergeCell ref="R613:R614"/>
    <mergeCell ref="E623:E624"/>
    <mergeCell ref="F623:F624"/>
    <mergeCell ref="G623:G624"/>
    <mergeCell ref="H623:H624"/>
    <mergeCell ref="I623:I624"/>
    <mergeCell ref="J623:J624"/>
    <mergeCell ref="AG615:AG616"/>
    <mergeCell ref="AE613:AE614"/>
    <mergeCell ref="P621:P622"/>
    <mergeCell ref="Q621:Q622"/>
    <mergeCell ref="R621:R622"/>
    <mergeCell ref="T621:T622"/>
    <mergeCell ref="AG621:AG622"/>
    <mergeCell ref="W621:W622"/>
    <mergeCell ref="S613:S614"/>
    <mergeCell ref="T613:T614"/>
    <mergeCell ref="L621:L622"/>
    <mergeCell ref="M621:M622"/>
    <mergeCell ref="N621:N622"/>
    <mergeCell ref="O621:O622"/>
    <mergeCell ref="AD621:AD622"/>
    <mergeCell ref="AF621:AF622"/>
    <mergeCell ref="AA617:AA619"/>
    <mergeCell ref="Q623:Q624"/>
    <mergeCell ref="R623:R624"/>
    <mergeCell ref="S623:S624"/>
    <mergeCell ref="H621:H622"/>
    <mergeCell ref="K623:K624"/>
    <mergeCell ref="L623:L624"/>
    <mergeCell ref="M623:M624"/>
    <mergeCell ref="U621:U622"/>
    <mergeCell ref="V621:V622"/>
    <mergeCell ref="A621:A628"/>
    <mergeCell ref="B621:B628"/>
    <mergeCell ref="C621:C628"/>
    <mergeCell ref="D621:D622"/>
    <mergeCell ref="N623:N624"/>
    <mergeCell ref="AA623:AA624"/>
    <mergeCell ref="O623:O624"/>
    <mergeCell ref="P623:P624"/>
    <mergeCell ref="J621:J622"/>
    <mergeCell ref="K621:K622"/>
    <mergeCell ref="E621:E622"/>
    <mergeCell ref="F621:F622"/>
    <mergeCell ref="AF617:AF619"/>
    <mergeCell ref="T617:T619"/>
    <mergeCell ref="U617:U619"/>
    <mergeCell ref="V617:V619"/>
    <mergeCell ref="W617:W619"/>
    <mergeCell ref="X617:X619"/>
    <mergeCell ref="Y617:Y619"/>
    <mergeCell ref="Z617:Z619"/>
    <mergeCell ref="G617:G619"/>
    <mergeCell ref="H617:H619"/>
    <mergeCell ref="I617:I619"/>
    <mergeCell ref="J617:J619"/>
    <mergeCell ref="K617:K619"/>
    <mergeCell ref="L617:L619"/>
    <mergeCell ref="AC623:AC624"/>
    <mergeCell ref="AC617:AC619"/>
    <mergeCell ref="AD617:AD619"/>
    <mergeCell ref="M617:M619"/>
    <mergeCell ref="N617:N619"/>
    <mergeCell ref="O617:O619"/>
    <mergeCell ref="P617:P619"/>
    <mergeCell ref="AB617:AB619"/>
    <mergeCell ref="Q617:Q619"/>
    <mergeCell ref="R617:R619"/>
    <mergeCell ref="AC621:AC622"/>
    <mergeCell ref="X621:X622"/>
    <mergeCell ref="Y621:Y622"/>
    <mergeCell ref="Z621:Z622"/>
    <mergeCell ref="AA621:AA622"/>
    <mergeCell ref="AB621:AB622"/>
    <mergeCell ref="AF625:AF626"/>
    <mergeCell ref="AC627:AC628"/>
    <mergeCell ref="AD627:AD628"/>
    <mergeCell ref="AE627:AE628"/>
    <mergeCell ref="AF627:AF628"/>
    <mergeCell ref="AB625:AB626"/>
    <mergeCell ref="AC625:AC626"/>
    <mergeCell ref="R625:R626"/>
    <mergeCell ref="S625:S626"/>
    <mergeCell ref="AG625:AG626"/>
    <mergeCell ref="V625:V626"/>
    <mergeCell ref="W625:W626"/>
    <mergeCell ref="X625:X626"/>
    <mergeCell ref="Y625:Y626"/>
    <mergeCell ref="Z625:Z626"/>
    <mergeCell ref="AA625:AA626"/>
    <mergeCell ref="AD625:AD626"/>
    <mergeCell ref="P625:P626"/>
    <mergeCell ref="P629:P631"/>
    <mergeCell ref="Q629:Q631"/>
    <mergeCell ref="J625:J626"/>
    <mergeCell ref="K625:K626"/>
    <mergeCell ref="L625:L626"/>
    <mergeCell ref="M625:M626"/>
    <mergeCell ref="O625:O626"/>
    <mergeCell ref="Q625:Q626"/>
    <mergeCell ref="H625:H626"/>
    <mergeCell ref="I625:I626"/>
    <mergeCell ref="W623:W624"/>
    <mergeCell ref="X623:X624"/>
    <mergeCell ref="Y623:Y624"/>
    <mergeCell ref="AD623:AD624"/>
    <mergeCell ref="U625:U626"/>
    <mergeCell ref="Z623:Z624"/>
    <mergeCell ref="AB623:AB624"/>
    <mergeCell ref="T625:T626"/>
    <mergeCell ref="V623:V624"/>
    <mergeCell ref="AG627:AG628"/>
    <mergeCell ref="Y627:Y628"/>
    <mergeCell ref="Z627:Z628"/>
    <mergeCell ref="AA627:AA628"/>
    <mergeCell ref="AB627:AB628"/>
    <mergeCell ref="AG623:AG624"/>
    <mergeCell ref="AE623:AE624"/>
    <mergeCell ref="AF623:AF624"/>
    <mergeCell ref="AE625:AE626"/>
    <mergeCell ref="A629:A639"/>
    <mergeCell ref="B629:B639"/>
    <mergeCell ref="C629:C639"/>
    <mergeCell ref="D629:D631"/>
    <mergeCell ref="T623:T624"/>
    <mergeCell ref="U623:U624"/>
    <mergeCell ref="N625:N626"/>
    <mergeCell ref="E625:E626"/>
    <mergeCell ref="F625:F626"/>
    <mergeCell ref="G625:G626"/>
    <mergeCell ref="M632:M633"/>
    <mergeCell ref="N632:N633"/>
    <mergeCell ref="S627:S628"/>
    <mergeCell ref="T627:T628"/>
    <mergeCell ref="U627:U628"/>
    <mergeCell ref="V627:V628"/>
    <mergeCell ref="M627:M628"/>
    <mergeCell ref="N627:N628"/>
    <mergeCell ref="O627:O628"/>
    <mergeCell ref="E629:E631"/>
    <mergeCell ref="W627:W628"/>
    <mergeCell ref="X627:X628"/>
    <mergeCell ref="K627:K628"/>
    <mergeCell ref="J629:J631"/>
    <mergeCell ref="K629:K631"/>
    <mergeCell ref="P627:P628"/>
    <mergeCell ref="Q627:Q628"/>
    <mergeCell ref="R627:R628"/>
    <mergeCell ref="AF629:AF631"/>
    <mergeCell ref="R629:R631"/>
    <mergeCell ref="T629:T631"/>
    <mergeCell ref="U629:U631"/>
    <mergeCell ref="V629:V631"/>
    <mergeCell ref="W629:W631"/>
    <mergeCell ref="X629:X631"/>
    <mergeCell ref="AG629:AG631"/>
    <mergeCell ref="Y629:Y631"/>
    <mergeCell ref="Z629:Z631"/>
    <mergeCell ref="AA629:AA631"/>
    <mergeCell ref="AB629:AB631"/>
    <mergeCell ref="AC629:AC631"/>
    <mergeCell ref="AD629:AD631"/>
    <mergeCell ref="E627:E628"/>
    <mergeCell ref="F627:F628"/>
    <mergeCell ref="G627:G628"/>
    <mergeCell ref="H627:H628"/>
    <mergeCell ref="E632:E633"/>
    <mergeCell ref="F632:F633"/>
    <mergeCell ref="G632:G633"/>
    <mergeCell ref="H632:H633"/>
    <mergeCell ref="I632:I633"/>
    <mergeCell ref="J632:J633"/>
    <mergeCell ref="K632:K633"/>
    <mergeCell ref="L632:L633"/>
    <mergeCell ref="I627:I628"/>
    <mergeCell ref="J627:J628"/>
    <mergeCell ref="L627:L628"/>
    <mergeCell ref="Q632:Q633"/>
    <mergeCell ref="R632:R633"/>
    <mergeCell ref="F629:F631"/>
    <mergeCell ref="G629:G631"/>
    <mergeCell ref="H629:H631"/>
    <mergeCell ref="I629:I631"/>
    <mergeCell ref="L629:L631"/>
    <mergeCell ref="M629:M631"/>
    <mergeCell ref="N629:N631"/>
    <mergeCell ref="O629:O631"/>
    <mergeCell ref="O636:O637"/>
    <mergeCell ref="P636:P637"/>
    <mergeCell ref="V634:V635"/>
    <mergeCell ref="W634:W635"/>
    <mergeCell ref="Y636:Y637"/>
    <mergeCell ref="T636:T637"/>
    <mergeCell ref="L634:L635"/>
    <mergeCell ref="M634:M635"/>
    <mergeCell ref="AD634:AD635"/>
    <mergeCell ref="AE634:AE635"/>
    <mergeCell ref="Z634:Z635"/>
    <mergeCell ref="AA634:AA635"/>
    <mergeCell ref="AB634:AB635"/>
    <mergeCell ref="AC634:AC635"/>
    <mergeCell ref="X634:X635"/>
    <mergeCell ref="Y634:Y635"/>
    <mergeCell ref="P634:P635"/>
    <mergeCell ref="Q634:Q635"/>
    <mergeCell ref="AF634:AF635"/>
    <mergeCell ref="AG634:AG635"/>
    <mergeCell ref="E636:E637"/>
    <mergeCell ref="F636:F637"/>
    <mergeCell ref="G636:G637"/>
    <mergeCell ref="H636:H637"/>
    <mergeCell ref="I636:I637"/>
    <mergeCell ref="J636:J637"/>
    <mergeCell ref="AA632:AA633"/>
    <mergeCell ref="AB632:AB633"/>
    <mergeCell ref="AC632:AC633"/>
    <mergeCell ref="AD632:AD633"/>
    <mergeCell ref="N634:N635"/>
    <mergeCell ref="O634:O635"/>
    <mergeCell ref="T634:T635"/>
    <mergeCell ref="U634:U635"/>
    <mergeCell ref="R634:R635"/>
    <mergeCell ref="S634:S635"/>
    <mergeCell ref="AG632:AG633"/>
    <mergeCell ref="E634:E635"/>
    <mergeCell ref="F634:F635"/>
    <mergeCell ref="G634:G635"/>
    <mergeCell ref="H634:H635"/>
    <mergeCell ref="I634:I635"/>
    <mergeCell ref="J634:J635"/>
    <mergeCell ref="K634:K635"/>
    <mergeCell ref="AE632:AE633"/>
    <mergeCell ref="AF632:AF633"/>
    <mergeCell ref="Y632:Y633"/>
    <mergeCell ref="Z632:Z633"/>
    <mergeCell ref="O632:O633"/>
    <mergeCell ref="P632:P633"/>
    <mergeCell ref="U632:U633"/>
    <mergeCell ref="V632:V633"/>
    <mergeCell ref="W632:W633"/>
    <mergeCell ref="X632:X633"/>
    <mergeCell ref="S632:S633"/>
    <mergeCell ref="T632:T633"/>
    <mergeCell ref="Q638:Q639"/>
    <mergeCell ref="AG638:AG639"/>
    <mergeCell ref="V638:V639"/>
    <mergeCell ref="W638:W639"/>
    <mergeCell ref="X638:X639"/>
    <mergeCell ref="Y638:Y639"/>
    <mergeCell ref="Z638:Z639"/>
    <mergeCell ref="AA638:AA639"/>
    <mergeCell ref="AD638:AD639"/>
    <mergeCell ref="AE638:AE639"/>
    <mergeCell ref="K638:K639"/>
    <mergeCell ref="L638:L639"/>
    <mergeCell ref="M638:M639"/>
    <mergeCell ref="N638:N639"/>
    <mergeCell ref="O638:O639"/>
    <mergeCell ref="P638:P639"/>
    <mergeCell ref="AG636:AG637"/>
    <mergeCell ref="AA636:AA637"/>
    <mergeCell ref="AB636:AB637"/>
    <mergeCell ref="Z636:Z637"/>
    <mergeCell ref="AC636:AC637"/>
    <mergeCell ref="AD636:AD637"/>
    <mergeCell ref="AE636:AE637"/>
    <mergeCell ref="E638:E639"/>
    <mergeCell ref="F638:F639"/>
    <mergeCell ref="G638:G639"/>
    <mergeCell ref="H638:H639"/>
    <mergeCell ref="AF636:AF637"/>
    <mergeCell ref="U636:U637"/>
    <mergeCell ref="V636:V637"/>
    <mergeCell ref="T638:T639"/>
    <mergeCell ref="U638:U639"/>
    <mergeCell ref="J638:J639"/>
    <mergeCell ref="I638:I639"/>
    <mergeCell ref="W636:W637"/>
    <mergeCell ref="X636:X637"/>
    <mergeCell ref="K636:K637"/>
    <mergeCell ref="L636:L637"/>
    <mergeCell ref="M636:M637"/>
    <mergeCell ref="N636:N637"/>
    <mergeCell ref="Q636:Q637"/>
    <mergeCell ref="R636:R637"/>
    <mergeCell ref="S636:S637"/>
    <mergeCell ref="AC640:AC641"/>
    <mergeCell ref="AD640:AD641"/>
    <mergeCell ref="AF640:AF641"/>
    <mergeCell ref="Q640:Q641"/>
    <mergeCell ref="R640:R641"/>
    <mergeCell ref="Z640:Z641"/>
    <mergeCell ref="AA640:AA641"/>
    <mergeCell ref="AB640:AB641"/>
    <mergeCell ref="T640:T641"/>
    <mergeCell ref="U640:U641"/>
    <mergeCell ref="AD642:AD643"/>
    <mergeCell ref="I642:I643"/>
    <mergeCell ref="J642:J643"/>
    <mergeCell ref="K642:K643"/>
    <mergeCell ref="L642:L643"/>
    <mergeCell ref="M642:M643"/>
    <mergeCell ref="O642:O643"/>
    <mergeCell ref="P642:P643"/>
    <mergeCell ref="Y642:Y643"/>
    <mergeCell ref="Z642:Z643"/>
    <mergeCell ref="V640:V641"/>
    <mergeCell ref="W640:W641"/>
    <mergeCell ref="X640:X641"/>
    <mergeCell ref="Y640:Y641"/>
    <mergeCell ref="E642:E643"/>
    <mergeCell ref="F642:F643"/>
    <mergeCell ref="G642:G643"/>
    <mergeCell ref="H642:H643"/>
    <mergeCell ref="O640:O641"/>
    <mergeCell ref="P640:P641"/>
    <mergeCell ref="E640:E641"/>
    <mergeCell ref="F640:F641"/>
    <mergeCell ref="G640:G641"/>
    <mergeCell ref="H640:H641"/>
    <mergeCell ref="F646:F647"/>
    <mergeCell ref="Z644:Z645"/>
    <mergeCell ref="I640:I641"/>
    <mergeCell ref="J640:J641"/>
    <mergeCell ref="AB638:AB639"/>
    <mergeCell ref="AC638:AC639"/>
    <mergeCell ref="K640:K641"/>
    <mergeCell ref="L640:L641"/>
    <mergeCell ref="M640:M641"/>
    <mergeCell ref="N640:N641"/>
    <mergeCell ref="AE644:AE645"/>
    <mergeCell ref="AF644:AF645"/>
    <mergeCell ref="R638:R639"/>
    <mergeCell ref="S638:S639"/>
    <mergeCell ref="AF638:AF639"/>
    <mergeCell ref="A646:A649"/>
    <mergeCell ref="B646:B649"/>
    <mergeCell ref="C646:C649"/>
    <mergeCell ref="D646:D647"/>
    <mergeCell ref="E646:E647"/>
    <mergeCell ref="O644:O645"/>
    <mergeCell ref="P644:P645"/>
    <mergeCell ref="AG644:AG645"/>
    <mergeCell ref="T644:T645"/>
    <mergeCell ref="U644:U645"/>
    <mergeCell ref="V644:V645"/>
    <mergeCell ref="W644:W645"/>
    <mergeCell ref="X644:X645"/>
    <mergeCell ref="Y644:Y645"/>
    <mergeCell ref="AA644:AA645"/>
    <mergeCell ref="A640:A645"/>
    <mergeCell ref="B640:B645"/>
    <mergeCell ref="C640:C645"/>
    <mergeCell ref="D640:D641"/>
    <mergeCell ref="M644:M645"/>
    <mergeCell ref="N644:N645"/>
    <mergeCell ref="L644:L645"/>
    <mergeCell ref="N642:N643"/>
    <mergeCell ref="K644:K645"/>
    <mergeCell ref="AC648:AC649"/>
    <mergeCell ref="AC642:AC643"/>
    <mergeCell ref="T642:T643"/>
    <mergeCell ref="U642:U643"/>
    <mergeCell ref="V642:V643"/>
    <mergeCell ref="W642:W643"/>
    <mergeCell ref="X642:X643"/>
    <mergeCell ref="AE648:AE649"/>
    <mergeCell ref="AF648:AF649"/>
    <mergeCell ref="Q644:Q645"/>
    <mergeCell ref="R644:R645"/>
    <mergeCell ref="AC644:AC645"/>
    <mergeCell ref="AD644:AD645"/>
    <mergeCell ref="S644:S645"/>
    <mergeCell ref="AC646:AC647"/>
    <mergeCell ref="AD646:AD647"/>
    <mergeCell ref="AB644:AB645"/>
    <mergeCell ref="E644:E645"/>
    <mergeCell ref="F644:F645"/>
    <mergeCell ref="G644:G645"/>
    <mergeCell ref="H644:H645"/>
    <mergeCell ref="I644:I645"/>
    <mergeCell ref="J644:J645"/>
    <mergeCell ref="AA642:AA643"/>
    <mergeCell ref="AB642:AB643"/>
    <mergeCell ref="Q642:Q643"/>
    <mergeCell ref="R642:R643"/>
    <mergeCell ref="S642:S643"/>
    <mergeCell ref="AG648:AG649"/>
    <mergeCell ref="AF642:AF643"/>
    <mergeCell ref="AG642:AG643"/>
    <mergeCell ref="AE642:AE643"/>
    <mergeCell ref="AD648:AD649"/>
    <mergeCell ref="AG640:AG641"/>
    <mergeCell ref="E653:E654"/>
    <mergeCell ref="F653:F654"/>
    <mergeCell ref="G653:G654"/>
    <mergeCell ref="H653:H654"/>
    <mergeCell ref="P653:P654"/>
    <mergeCell ref="Q653:Q654"/>
    <mergeCell ref="L653:L654"/>
    <mergeCell ref="M653:M654"/>
    <mergeCell ref="N653:N654"/>
    <mergeCell ref="Z646:Z647"/>
    <mergeCell ref="AA646:AA647"/>
    <mergeCell ref="AB646:AB647"/>
    <mergeCell ref="W646:W647"/>
    <mergeCell ref="X646:X647"/>
    <mergeCell ref="Y646:Y647"/>
    <mergeCell ref="AG650:AG652"/>
    <mergeCell ref="AE650:AE652"/>
    <mergeCell ref="AF650:AF652"/>
    <mergeCell ref="O646:O647"/>
    <mergeCell ref="P646:P647"/>
    <mergeCell ref="Q646:Q647"/>
    <mergeCell ref="AF646:AF647"/>
    <mergeCell ref="AG646:AG647"/>
    <mergeCell ref="U646:U647"/>
    <mergeCell ref="V646:V647"/>
    <mergeCell ref="G646:G647"/>
    <mergeCell ref="R646:R647"/>
    <mergeCell ref="T646:T647"/>
    <mergeCell ref="H646:H647"/>
    <mergeCell ref="I646:I647"/>
    <mergeCell ref="J646:J647"/>
    <mergeCell ref="K646:K647"/>
    <mergeCell ref="L646:L647"/>
    <mergeCell ref="M646:M647"/>
    <mergeCell ref="N646:N647"/>
    <mergeCell ref="AG657:AG658"/>
    <mergeCell ref="V657:V658"/>
    <mergeCell ref="W657:W658"/>
    <mergeCell ref="X657:X658"/>
    <mergeCell ref="Y657:Y658"/>
    <mergeCell ref="Z657:Z658"/>
    <mergeCell ref="AA657:AA658"/>
    <mergeCell ref="AC657:AC658"/>
    <mergeCell ref="AD657:AD658"/>
    <mergeCell ref="AE657:AE658"/>
    <mergeCell ref="J657:J658"/>
    <mergeCell ref="K657:K658"/>
    <mergeCell ref="L657:L658"/>
    <mergeCell ref="M657:M658"/>
    <mergeCell ref="N657:N658"/>
    <mergeCell ref="O657:O658"/>
    <mergeCell ref="M648:M649"/>
    <mergeCell ref="N648:N649"/>
    <mergeCell ref="AA648:AA649"/>
    <mergeCell ref="AC655:AC656"/>
    <mergeCell ref="AD655:AD656"/>
    <mergeCell ref="AE655:AE656"/>
    <mergeCell ref="AD653:AD654"/>
    <mergeCell ref="AE653:AE654"/>
    <mergeCell ref="O653:O654"/>
    <mergeCell ref="W648:W649"/>
    <mergeCell ref="AG655:AG656"/>
    <mergeCell ref="A650:A658"/>
    <mergeCell ref="B650:B658"/>
    <mergeCell ref="C650:C658"/>
    <mergeCell ref="D650:D652"/>
    <mergeCell ref="E650:E652"/>
    <mergeCell ref="AF655:AF656"/>
    <mergeCell ref="AF653:AF654"/>
    <mergeCell ref="AG653:AG654"/>
    <mergeCell ref="T657:T658"/>
    <mergeCell ref="AB648:AB649"/>
    <mergeCell ref="Q648:Q649"/>
    <mergeCell ref="R648:R649"/>
    <mergeCell ref="S648:S649"/>
    <mergeCell ref="T648:T649"/>
    <mergeCell ref="U648:U649"/>
    <mergeCell ref="V648:V649"/>
    <mergeCell ref="Z648:Z649"/>
    <mergeCell ref="X648:X649"/>
    <mergeCell ref="Y648:Y649"/>
    <mergeCell ref="O648:O649"/>
    <mergeCell ref="P648:P649"/>
    <mergeCell ref="E648:E649"/>
    <mergeCell ref="F648:F649"/>
    <mergeCell ref="G648:G649"/>
    <mergeCell ref="H648:H649"/>
    <mergeCell ref="I648:I649"/>
    <mergeCell ref="J648:J649"/>
    <mergeCell ref="K648:K649"/>
    <mergeCell ref="L648:L649"/>
    <mergeCell ref="E655:E656"/>
    <mergeCell ref="F655:F656"/>
    <mergeCell ref="G655:G656"/>
    <mergeCell ref="H655:H656"/>
    <mergeCell ref="T653:T654"/>
    <mergeCell ref="U653:U654"/>
    <mergeCell ref="AB657:AB658"/>
    <mergeCell ref="P657:P658"/>
    <mergeCell ref="Q657:Q658"/>
    <mergeCell ref="R657:R658"/>
    <mergeCell ref="S657:S658"/>
    <mergeCell ref="AA655:AA656"/>
    <mergeCell ref="AB655:AB656"/>
    <mergeCell ref="T655:T656"/>
    <mergeCell ref="U655:U656"/>
    <mergeCell ref="U657:U658"/>
    <mergeCell ref="W659:W661"/>
    <mergeCell ref="X650:X652"/>
    <mergeCell ref="Y650:Y652"/>
    <mergeCell ref="Z650:Z652"/>
    <mergeCell ref="AA650:AA652"/>
    <mergeCell ref="K653:K654"/>
    <mergeCell ref="V653:V654"/>
    <mergeCell ref="W653:W654"/>
    <mergeCell ref="M650:M652"/>
    <mergeCell ref="N650:N652"/>
    <mergeCell ref="O650:O652"/>
    <mergeCell ref="AB653:AB654"/>
    <mergeCell ref="Y655:Y656"/>
    <mergeCell ref="Z655:Z656"/>
    <mergeCell ref="K650:K652"/>
    <mergeCell ref="L650:L652"/>
    <mergeCell ref="AC650:AC652"/>
    <mergeCell ref="AD650:AD652"/>
    <mergeCell ref="R650:R652"/>
    <mergeCell ref="T650:T652"/>
    <mergeCell ref="U650:U652"/>
    <mergeCell ref="V650:V652"/>
    <mergeCell ref="W650:W652"/>
    <mergeCell ref="AB650:AB652"/>
    <mergeCell ref="Z653:Z654"/>
    <mergeCell ref="AA653:AA654"/>
    <mergeCell ref="AF657:AF658"/>
    <mergeCell ref="P650:P652"/>
    <mergeCell ref="Q650:Q652"/>
    <mergeCell ref="F650:F652"/>
    <mergeCell ref="G650:G652"/>
    <mergeCell ref="H650:H652"/>
    <mergeCell ref="I650:I652"/>
    <mergeCell ref="J650:J652"/>
    <mergeCell ref="S653:S654"/>
    <mergeCell ref="V655:V656"/>
    <mergeCell ref="W655:W656"/>
    <mergeCell ref="X655:X656"/>
    <mergeCell ref="I653:I654"/>
    <mergeCell ref="J653:J654"/>
    <mergeCell ref="E657:E658"/>
    <mergeCell ref="F657:F658"/>
    <mergeCell ref="G657:G658"/>
    <mergeCell ref="H657:H658"/>
    <mergeCell ref="AC653:AC654"/>
    <mergeCell ref="I655:I656"/>
    <mergeCell ref="J655:J656"/>
    <mergeCell ref="X653:X654"/>
    <mergeCell ref="Y653:Y654"/>
    <mergeCell ref="R653:R654"/>
    <mergeCell ref="E664:E665"/>
    <mergeCell ref="F664:F665"/>
    <mergeCell ref="E659:E661"/>
    <mergeCell ref="G664:G665"/>
    <mergeCell ref="H664:H665"/>
    <mergeCell ref="I664:I665"/>
    <mergeCell ref="F659:F661"/>
    <mergeCell ref="AE664:AE665"/>
    <mergeCell ref="AC659:AC661"/>
    <mergeCell ref="AD659:AD661"/>
    <mergeCell ref="Z664:Z665"/>
    <mergeCell ref="AA664:AA665"/>
    <mergeCell ref="Z662:Z663"/>
    <mergeCell ref="AA662:AA663"/>
    <mergeCell ref="AD664:AD665"/>
    <mergeCell ref="AA659:AA661"/>
    <mergeCell ref="AB659:AB661"/>
    <mergeCell ref="S662:S663"/>
    <mergeCell ref="K655:K656"/>
    <mergeCell ref="L655:L656"/>
    <mergeCell ref="M655:M656"/>
    <mergeCell ref="N655:N656"/>
    <mergeCell ref="Q655:Q656"/>
    <mergeCell ref="R655:R656"/>
    <mergeCell ref="S655:S656"/>
    <mergeCell ref="R659:R661"/>
    <mergeCell ref="AF662:AF663"/>
    <mergeCell ref="AG662:AG663"/>
    <mergeCell ref="AB662:AB663"/>
    <mergeCell ref="AC662:AC663"/>
    <mergeCell ref="AD662:AD663"/>
    <mergeCell ref="AE662:AE663"/>
    <mergeCell ref="J664:J665"/>
    <mergeCell ref="O655:O656"/>
    <mergeCell ref="P655:P656"/>
    <mergeCell ref="G659:G661"/>
    <mergeCell ref="H659:H661"/>
    <mergeCell ref="I659:I661"/>
    <mergeCell ref="J659:J661"/>
    <mergeCell ref="K664:K665"/>
    <mergeCell ref="L664:L665"/>
    <mergeCell ref="I657:I658"/>
    <mergeCell ref="Y662:Y663"/>
    <mergeCell ref="N662:N663"/>
    <mergeCell ref="O662:O663"/>
    <mergeCell ref="P662:P663"/>
    <mergeCell ref="Q662:Q663"/>
    <mergeCell ref="T662:T663"/>
    <mergeCell ref="U662:U663"/>
    <mergeCell ref="V662:V663"/>
    <mergeCell ref="W662:W663"/>
    <mergeCell ref="R662:R663"/>
    <mergeCell ref="AG659:AG661"/>
    <mergeCell ref="E662:E663"/>
    <mergeCell ref="F662:F663"/>
    <mergeCell ref="G662:G663"/>
    <mergeCell ref="H662:H663"/>
    <mergeCell ref="AF659:AF661"/>
    <mergeCell ref="T659:T661"/>
    <mergeCell ref="U659:U661"/>
    <mergeCell ref="V659:V661"/>
    <mergeCell ref="X662:X663"/>
    <mergeCell ref="X659:X661"/>
    <mergeCell ref="Y659:Y661"/>
    <mergeCell ref="Z659:Z661"/>
    <mergeCell ref="K659:K661"/>
    <mergeCell ref="L659:L661"/>
    <mergeCell ref="M659:M661"/>
    <mergeCell ref="N659:N661"/>
    <mergeCell ref="O659:O661"/>
    <mergeCell ref="P659:P661"/>
    <mergeCell ref="Q659:Q661"/>
    <mergeCell ref="U666:U668"/>
    <mergeCell ref="V666:V668"/>
    <mergeCell ref="W666:W668"/>
    <mergeCell ref="X666:X668"/>
    <mergeCell ref="Y666:Y668"/>
    <mergeCell ref="Z666:Z668"/>
    <mergeCell ref="AF666:AF668"/>
    <mergeCell ref="AG666:AG668"/>
    <mergeCell ref="R666:R668"/>
    <mergeCell ref="T666:T668"/>
    <mergeCell ref="P666:P668"/>
    <mergeCell ref="Q666:Q668"/>
    <mergeCell ref="AC666:AC668"/>
    <mergeCell ref="AD666:AD668"/>
    <mergeCell ref="AA666:AA668"/>
    <mergeCell ref="AB666:AB668"/>
    <mergeCell ref="L666:L668"/>
    <mergeCell ref="M666:M668"/>
    <mergeCell ref="N666:N668"/>
    <mergeCell ref="O666:O668"/>
    <mergeCell ref="H666:H668"/>
    <mergeCell ref="I666:I668"/>
    <mergeCell ref="J666:J668"/>
    <mergeCell ref="K666:K668"/>
    <mergeCell ref="AF664:AF665"/>
    <mergeCell ref="AG664:AG665"/>
    <mergeCell ref="I662:I663"/>
    <mergeCell ref="J662:J663"/>
    <mergeCell ref="K662:K663"/>
    <mergeCell ref="L662:L663"/>
    <mergeCell ref="M662:M663"/>
    <mergeCell ref="R664:R665"/>
    <mergeCell ref="AB664:AB665"/>
    <mergeCell ref="AC664:AC665"/>
    <mergeCell ref="E669:E670"/>
    <mergeCell ref="F669:F670"/>
    <mergeCell ref="G669:G670"/>
    <mergeCell ref="A666:A674"/>
    <mergeCell ref="B666:B674"/>
    <mergeCell ref="C666:C674"/>
    <mergeCell ref="D666:D668"/>
    <mergeCell ref="N664:N665"/>
    <mergeCell ref="O664:O665"/>
    <mergeCell ref="P664:P665"/>
    <mergeCell ref="S664:S665"/>
    <mergeCell ref="T664:T665"/>
    <mergeCell ref="O669:O670"/>
    <mergeCell ref="P669:P670"/>
    <mergeCell ref="Q664:Q665"/>
    <mergeCell ref="AD671:AD672"/>
    <mergeCell ref="AE671:AE672"/>
    <mergeCell ref="AC673:AC674"/>
    <mergeCell ref="AD673:AD674"/>
    <mergeCell ref="AE673:AE674"/>
    <mergeCell ref="U664:U665"/>
    <mergeCell ref="V664:V665"/>
    <mergeCell ref="W664:W665"/>
    <mergeCell ref="X664:X665"/>
    <mergeCell ref="Y664:Y665"/>
    <mergeCell ref="R671:R672"/>
    <mergeCell ref="S671:S672"/>
    <mergeCell ref="A659:A665"/>
    <mergeCell ref="B659:B665"/>
    <mergeCell ref="C659:C665"/>
    <mergeCell ref="D659:D661"/>
    <mergeCell ref="E666:E668"/>
    <mergeCell ref="F666:F668"/>
    <mergeCell ref="G666:G668"/>
    <mergeCell ref="M664:M665"/>
    <mergeCell ref="L671:L672"/>
    <mergeCell ref="M671:M672"/>
    <mergeCell ref="AF671:AF672"/>
    <mergeCell ref="AG671:AG672"/>
    <mergeCell ref="V671:V672"/>
    <mergeCell ref="W671:W672"/>
    <mergeCell ref="X671:X672"/>
    <mergeCell ref="Y671:Y672"/>
    <mergeCell ref="P671:P672"/>
    <mergeCell ref="Q671:Q672"/>
    <mergeCell ref="AC669:AC670"/>
    <mergeCell ref="AD669:AD670"/>
    <mergeCell ref="N669:N670"/>
    <mergeCell ref="Q669:Q670"/>
    <mergeCell ref="R669:R670"/>
    <mergeCell ref="S669:S670"/>
    <mergeCell ref="T669:T670"/>
    <mergeCell ref="U669:U670"/>
    <mergeCell ref="AE669:AE670"/>
    <mergeCell ref="AF669:AF670"/>
    <mergeCell ref="T671:T672"/>
    <mergeCell ref="U671:U672"/>
    <mergeCell ref="Z671:Z672"/>
    <mergeCell ref="AA671:AA672"/>
    <mergeCell ref="AB671:AB672"/>
    <mergeCell ref="AC671:AC672"/>
    <mergeCell ref="AA669:AA670"/>
    <mergeCell ref="AB669:AB670"/>
    <mergeCell ref="E671:E672"/>
    <mergeCell ref="F671:F672"/>
    <mergeCell ref="G671:G672"/>
    <mergeCell ref="H671:H672"/>
    <mergeCell ref="I671:I672"/>
    <mergeCell ref="W669:W670"/>
    <mergeCell ref="N671:N672"/>
    <mergeCell ref="O671:O672"/>
    <mergeCell ref="J671:J672"/>
    <mergeCell ref="K671:K672"/>
    <mergeCell ref="H669:H670"/>
    <mergeCell ref="I669:I670"/>
    <mergeCell ref="J669:J670"/>
    <mergeCell ref="K669:K670"/>
    <mergeCell ref="L669:L670"/>
    <mergeCell ref="M669:M670"/>
    <mergeCell ref="AF673:AF674"/>
    <mergeCell ref="AG673:AG674"/>
    <mergeCell ref="Z673:Z674"/>
    <mergeCell ref="AA673:AA674"/>
    <mergeCell ref="AB673:AB674"/>
    <mergeCell ref="V669:V670"/>
    <mergeCell ref="AG669:AG670"/>
    <mergeCell ref="X669:X670"/>
    <mergeCell ref="Y669:Y670"/>
    <mergeCell ref="Z669:Z670"/>
    <mergeCell ref="AF675:AF676"/>
    <mergeCell ref="AG675:AG676"/>
    <mergeCell ref="A675:A698"/>
    <mergeCell ref="B675:B698"/>
    <mergeCell ref="C675:C698"/>
    <mergeCell ref="D675:D676"/>
    <mergeCell ref="Q677:Q678"/>
    <mergeCell ref="R677:R678"/>
    <mergeCell ref="M677:M678"/>
    <mergeCell ref="N677:N678"/>
    <mergeCell ref="U673:U674"/>
    <mergeCell ref="V673:V674"/>
    <mergeCell ref="O677:O678"/>
    <mergeCell ref="P677:P678"/>
    <mergeCell ref="E675:E676"/>
    <mergeCell ref="W673:W674"/>
    <mergeCell ref="I673:I674"/>
    <mergeCell ref="J673:J674"/>
    <mergeCell ref="K673:K674"/>
    <mergeCell ref="L673:L674"/>
    <mergeCell ref="E677:E678"/>
    <mergeCell ref="F677:F678"/>
    <mergeCell ref="G677:G678"/>
    <mergeCell ref="H677:H678"/>
    <mergeCell ref="X673:X674"/>
    <mergeCell ref="Y673:Y674"/>
    <mergeCell ref="Q673:Q674"/>
    <mergeCell ref="R673:R674"/>
    <mergeCell ref="S673:S674"/>
    <mergeCell ref="T673:T674"/>
    <mergeCell ref="O673:O674"/>
    <mergeCell ref="P673:P674"/>
    <mergeCell ref="E673:E674"/>
    <mergeCell ref="F673:F674"/>
    <mergeCell ref="G673:G674"/>
    <mergeCell ref="H673:H674"/>
    <mergeCell ref="M673:M674"/>
    <mergeCell ref="N673:N674"/>
    <mergeCell ref="AC675:AC676"/>
    <mergeCell ref="I677:I678"/>
    <mergeCell ref="J677:J678"/>
    <mergeCell ref="K677:K678"/>
    <mergeCell ref="L677:L678"/>
    <mergeCell ref="Y675:Y676"/>
    <mergeCell ref="AC677:AC678"/>
    <mergeCell ref="AB677:AB678"/>
    <mergeCell ref="O675:O676"/>
    <mergeCell ref="AD675:AD676"/>
    <mergeCell ref="R675:R676"/>
    <mergeCell ref="T675:T676"/>
    <mergeCell ref="U675:U676"/>
    <mergeCell ref="V675:V676"/>
    <mergeCell ref="W675:W676"/>
    <mergeCell ref="X675:X676"/>
    <mergeCell ref="Z675:Z676"/>
    <mergeCell ref="AA675:AA676"/>
    <mergeCell ref="AB675:AB676"/>
    <mergeCell ref="P675:P676"/>
    <mergeCell ref="Q675:Q676"/>
    <mergeCell ref="K675:K676"/>
    <mergeCell ref="AD679:AD680"/>
    <mergeCell ref="Y679:Y680"/>
    <mergeCell ref="Z679:Z680"/>
    <mergeCell ref="AA679:AA680"/>
    <mergeCell ref="AB679:AB680"/>
    <mergeCell ref="AC679:AC680"/>
    <mergeCell ref="V679:V680"/>
    <mergeCell ref="E681:E682"/>
    <mergeCell ref="F681:F682"/>
    <mergeCell ref="G681:G682"/>
    <mergeCell ref="H681:H682"/>
    <mergeCell ref="I681:I682"/>
    <mergeCell ref="J681:J682"/>
    <mergeCell ref="R679:R680"/>
    <mergeCell ref="L679:L680"/>
    <mergeCell ref="M679:M680"/>
    <mergeCell ref="N679:N680"/>
    <mergeCell ref="O679:O680"/>
    <mergeCell ref="AE679:AE680"/>
    <mergeCell ref="W679:W680"/>
    <mergeCell ref="AF677:AF678"/>
    <mergeCell ref="AG677:AG678"/>
    <mergeCell ref="Y677:Y678"/>
    <mergeCell ref="Z677:Z678"/>
    <mergeCell ref="AA677:AA678"/>
    <mergeCell ref="X679:X680"/>
    <mergeCell ref="AF679:AF680"/>
    <mergeCell ref="AG679:AG680"/>
    <mergeCell ref="E679:E680"/>
    <mergeCell ref="F679:F680"/>
    <mergeCell ref="G679:G680"/>
    <mergeCell ref="H679:H680"/>
    <mergeCell ref="U679:U680"/>
    <mergeCell ref="AE677:AE678"/>
    <mergeCell ref="P679:P680"/>
    <mergeCell ref="Q679:Q680"/>
    <mergeCell ref="S679:S680"/>
    <mergeCell ref="T679:T680"/>
    <mergeCell ref="S677:S678"/>
    <mergeCell ref="T677:T678"/>
    <mergeCell ref="U677:U678"/>
    <mergeCell ref="V677:V678"/>
    <mergeCell ref="W677:W678"/>
    <mergeCell ref="X677:X678"/>
    <mergeCell ref="F675:F676"/>
    <mergeCell ref="G675:G676"/>
    <mergeCell ref="H675:H676"/>
    <mergeCell ref="I675:I676"/>
    <mergeCell ref="I679:I680"/>
    <mergeCell ref="J679:J680"/>
    <mergeCell ref="AC681:AC682"/>
    <mergeCell ref="AD681:AD682"/>
    <mergeCell ref="AE681:AE682"/>
    <mergeCell ref="AF681:AF682"/>
    <mergeCell ref="J675:J676"/>
    <mergeCell ref="L675:L676"/>
    <mergeCell ref="M675:M676"/>
    <mergeCell ref="N675:N676"/>
    <mergeCell ref="K679:K680"/>
    <mergeCell ref="AD677:AD678"/>
    <mergeCell ref="AG681:AG682"/>
    <mergeCell ref="E683:E684"/>
    <mergeCell ref="F683:F684"/>
    <mergeCell ref="G683:G684"/>
    <mergeCell ref="H683:H684"/>
    <mergeCell ref="I683:I684"/>
    <mergeCell ref="W681:W682"/>
    <mergeCell ref="X681:X682"/>
    <mergeCell ref="T683:T684"/>
    <mergeCell ref="U683:U684"/>
    <mergeCell ref="Y681:Y682"/>
    <mergeCell ref="Z681:Z682"/>
    <mergeCell ref="AB681:AB682"/>
    <mergeCell ref="Q681:Q682"/>
    <mergeCell ref="R681:R682"/>
    <mergeCell ref="S681:S682"/>
    <mergeCell ref="T681:T682"/>
    <mergeCell ref="U681:U682"/>
    <mergeCell ref="V681:V682"/>
    <mergeCell ref="AA681:AA682"/>
    <mergeCell ref="E687:E688"/>
    <mergeCell ref="F687:F688"/>
    <mergeCell ref="G687:G688"/>
    <mergeCell ref="H687:H688"/>
    <mergeCell ref="I687:I688"/>
    <mergeCell ref="E685:E686"/>
    <mergeCell ref="F685:F686"/>
    <mergeCell ref="G685:G686"/>
    <mergeCell ref="K685:K686"/>
    <mergeCell ref="L685:L686"/>
    <mergeCell ref="M685:M686"/>
    <mergeCell ref="N685:N686"/>
    <mergeCell ref="O681:O682"/>
    <mergeCell ref="P681:P682"/>
    <mergeCell ref="K681:K682"/>
    <mergeCell ref="L681:L682"/>
    <mergeCell ref="M681:M682"/>
    <mergeCell ref="N681:N682"/>
    <mergeCell ref="Z685:Z686"/>
    <mergeCell ref="AC685:AC686"/>
    <mergeCell ref="AA685:AA686"/>
    <mergeCell ref="AB685:AB686"/>
    <mergeCell ref="Q685:Q686"/>
    <mergeCell ref="R685:R686"/>
    <mergeCell ref="S685:S686"/>
    <mergeCell ref="T685:T686"/>
    <mergeCell ref="W685:W686"/>
    <mergeCell ref="X685:X686"/>
    <mergeCell ref="O685:O686"/>
    <mergeCell ref="P685:P686"/>
    <mergeCell ref="Q683:Q684"/>
    <mergeCell ref="R683:R684"/>
    <mergeCell ref="S683:S684"/>
    <mergeCell ref="Y685:Y686"/>
    <mergeCell ref="L683:L684"/>
    <mergeCell ref="M683:M684"/>
    <mergeCell ref="N683:N684"/>
    <mergeCell ref="O683:O684"/>
    <mergeCell ref="AD683:AD684"/>
    <mergeCell ref="AE683:AE684"/>
    <mergeCell ref="AB683:AB684"/>
    <mergeCell ref="AC683:AC684"/>
    <mergeCell ref="Z683:Z684"/>
    <mergeCell ref="AA683:AA684"/>
    <mergeCell ref="V683:V684"/>
    <mergeCell ref="W683:W684"/>
    <mergeCell ref="X683:X684"/>
    <mergeCell ref="Y683:Y684"/>
    <mergeCell ref="H685:H686"/>
    <mergeCell ref="I685:I686"/>
    <mergeCell ref="J685:J686"/>
    <mergeCell ref="P683:P684"/>
    <mergeCell ref="J683:J684"/>
    <mergeCell ref="K683:K684"/>
    <mergeCell ref="AB687:AB688"/>
    <mergeCell ref="AC687:AC688"/>
    <mergeCell ref="AD687:AD688"/>
    <mergeCell ref="AE687:AE688"/>
    <mergeCell ref="AF683:AF684"/>
    <mergeCell ref="AG683:AG684"/>
    <mergeCell ref="AA687:AA688"/>
    <mergeCell ref="AC689:AC690"/>
    <mergeCell ref="AD689:AD690"/>
    <mergeCell ref="R687:R688"/>
    <mergeCell ref="S687:S688"/>
    <mergeCell ref="T687:T688"/>
    <mergeCell ref="U687:U688"/>
    <mergeCell ref="AB689:AB690"/>
    <mergeCell ref="U689:U690"/>
    <mergeCell ref="V689:V690"/>
    <mergeCell ref="J687:J688"/>
    <mergeCell ref="K687:K688"/>
    <mergeCell ref="L687:L688"/>
    <mergeCell ref="M687:M688"/>
    <mergeCell ref="AF687:AF688"/>
    <mergeCell ref="AG687:AG688"/>
    <mergeCell ref="V687:V688"/>
    <mergeCell ref="W687:W688"/>
    <mergeCell ref="X687:X688"/>
    <mergeCell ref="Y687:Y688"/>
    <mergeCell ref="AD685:AD686"/>
    <mergeCell ref="AE685:AE686"/>
    <mergeCell ref="AF685:AF686"/>
    <mergeCell ref="U685:U686"/>
    <mergeCell ref="V685:V686"/>
    <mergeCell ref="N687:N688"/>
    <mergeCell ref="O687:O688"/>
    <mergeCell ref="P687:P688"/>
    <mergeCell ref="Q687:Q688"/>
    <mergeCell ref="Z687:Z688"/>
    <mergeCell ref="AG685:AG686"/>
    <mergeCell ref="Z691:Z692"/>
    <mergeCell ref="AA691:AA692"/>
    <mergeCell ref="AB691:AB692"/>
    <mergeCell ref="AC691:AC692"/>
    <mergeCell ref="AD691:AD692"/>
    <mergeCell ref="AE691:AE692"/>
    <mergeCell ref="AF691:AF692"/>
    <mergeCell ref="AG691:AG692"/>
    <mergeCell ref="AE689:AE690"/>
    <mergeCell ref="V691:V692"/>
    <mergeCell ref="W691:W692"/>
    <mergeCell ref="X691:X692"/>
    <mergeCell ref="Y691:Y692"/>
    <mergeCell ref="P691:P692"/>
    <mergeCell ref="Q691:Q692"/>
    <mergeCell ref="R691:R692"/>
    <mergeCell ref="S691:S692"/>
    <mergeCell ref="AF689:AF690"/>
    <mergeCell ref="T691:T692"/>
    <mergeCell ref="U691:U692"/>
    <mergeCell ref="J691:J692"/>
    <mergeCell ref="K691:K692"/>
    <mergeCell ref="L691:L692"/>
    <mergeCell ref="M691:M692"/>
    <mergeCell ref="N691:N692"/>
    <mergeCell ref="O691:O692"/>
    <mergeCell ref="K689:K690"/>
    <mergeCell ref="AG689:AG690"/>
    <mergeCell ref="E691:E692"/>
    <mergeCell ref="F691:F692"/>
    <mergeCell ref="G691:G692"/>
    <mergeCell ref="H691:H692"/>
    <mergeCell ref="I691:I692"/>
    <mergeCell ref="W689:W690"/>
    <mergeCell ref="X689:X690"/>
    <mergeCell ref="Y689:Y690"/>
    <mergeCell ref="Z689:Z690"/>
    <mergeCell ref="N689:N690"/>
    <mergeCell ref="AA689:AA690"/>
    <mergeCell ref="Q689:Q690"/>
    <mergeCell ref="R689:R690"/>
    <mergeCell ref="S689:S690"/>
    <mergeCell ref="T689:T690"/>
    <mergeCell ref="O689:O690"/>
    <mergeCell ref="P689:P690"/>
    <mergeCell ref="E689:E690"/>
    <mergeCell ref="F689:F690"/>
    <mergeCell ref="G689:G690"/>
    <mergeCell ref="H689:H690"/>
    <mergeCell ref="L689:L690"/>
    <mergeCell ref="M689:M690"/>
    <mergeCell ref="I689:I690"/>
    <mergeCell ref="J689:J690"/>
    <mergeCell ref="AC693:AC694"/>
    <mergeCell ref="AD693:AD694"/>
    <mergeCell ref="M693:M694"/>
    <mergeCell ref="N693:N694"/>
    <mergeCell ref="Q693:Q694"/>
    <mergeCell ref="R693:R694"/>
    <mergeCell ref="S693:S694"/>
    <mergeCell ref="T693:T694"/>
    <mergeCell ref="T695:T696"/>
    <mergeCell ref="U695:U696"/>
    <mergeCell ref="Z695:Z696"/>
    <mergeCell ref="AA695:AA696"/>
    <mergeCell ref="AB695:AB696"/>
    <mergeCell ref="AC695:AC696"/>
    <mergeCell ref="W693:W694"/>
    <mergeCell ref="X693:X694"/>
    <mergeCell ref="Y693:Y694"/>
    <mergeCell ref="Z693:Z694"/>
    <mergeCell ref="AE693:AE694"/>
    <mergeCell ref="AF693:AF694"/>
    <mergeCell ref="AA693:AA694"/>
    <mergeCell ref="AB693:AB694"/>
    <mergeCell ref="U693:U694"/>
    <mergeCell ref="V693:V694"/>
    <mergeCell ref="O693:O694"/>
    <mergeCell ref="P693:P694"/>
    <mergeCell ref="AG693:AG694"/>
    <mergeCell ref="E695:E696"/>
    <mergeCell ref="F695:F696"/>
    <mergeCell ref="G695:G696"/>
    <mergeCell ref="H695:H696"/>
    <mergeCell ref="I695:I696"/>
    <mergeCell ref="I693:I694"/>
    <mergeCell ref="J693:J694"/>
    <mergeCell ref="K693:K694"/>
    <mergeCell ref="L693:L694"/>
    <mergeCell ref="E693:E694"/>
    <mergeCell ref="F693:F694"/>
    <mergeCell ref="G693:G694"/>
    <mergeCell ref="H693:H694"/>
    <mergeCell ref="AE697:AE698"/>
    <mergeCell ref="AF697:AF698"/>
    <mergeCell ref="U697:U698"/>
    <mergeCell ref="V697:V698"/>
    <mergeCell ref="Y697:Y698"/>
    <mergeCell ref="Z697:Z698"/>
    <mergeCell ref="AC697:AC698"/>
    <mergeCell ref="AD697:AD698"/>
    <mergeCell ref="AG697:AG698"/>
    <mergeCell ref="A699:A703"/>
    <mergeCell ref="B699:B703"/>
    <mergeCell ref="C699:C703"/>
    <mergeCell ref="D699:D701"/>
    <mergeCell ref="E699:E701"/>
    <mergeCell ref="W697:W698"/>
    <mergeCell ref="X697:X698"/>
    <mergeCell ref="K697:K698"/>
    <mergeCell ref="L697:L698"/>
    <mergeCell ref="M697:M698"/>
    <mergeCell ref="N697:N698"/>
    <mergeCell ref="AA697:AA698"/>
    <mergeCell ref="AB697:AB698"/>
    <mergeCell ref="Q697:Q698"/>
    <mergeCell ref="R697:R698"/>
    <mergeCell ref="S697:S698"/>
    <mergeCell ref="T697:T698"/>
    <mergeCell ref="E697:E698"/>
    <mergeCell ref="F697:F698"/>
    <mergeCell ref="G697:G698"/>
    <mergeCell ref="H697:H698"/>
    <mergeCell ref="AD695:AD696"/>
    <mergeCell ref="AE695:AE696"/>
    <mergeCell ref="O697:O698"/>
    <mergeCell ref="P697:P698"/>
    <mergeCell ref="R695:R696"/>
    <mergeCell ref="S695:S696"/>
    <mergeCell ref="I697:I698"/>
    <mergeCell ref="J697:J698"/>
    <mergeCell ref="P695:P696"/>
    <mergeCell ref="Q695:Q696"/>
    <mergeCell ref="J695:J696"/>
    <mergeCell ref="K695:K696"/>
    <mergeCell ref="L695:L696"/>
    <mergeCell ref="M695:M696"/>
    <mergeCell ref="N695:N696"/>
    <mergeCell ref="O695:O696"/>
    <mergeCell ref="AF695:AF696"/>
    <mergeCell ref="AG695:AG696"/>
    <mergeCell ref="V695:V696"/>
    <mergeCell ref="W695:W696"/>
    <mergeCell ref="X695:X696"/>
    <mergeCell ref="Y695:Y696"/>
    <mergeCell ref="K702:K703"/>
    <mergeCell ref="L702:L703"/>
    <mergeCell ref="AF699:AF701"/>
    <mergeCell ref="AG699:AG701"/>
    <mergeCell ref="Y699:Y701"/>
    <mergeCell ref="Z699:Z701"/>
    <mergeCell ref="AA699:AA701"/>
    <mergeCell ref="AB699:AB701"/>
    <mergeCell ref="AC699:AC701"/>
    <mergeCell ref="AD699:AD701"/>
    <mergeCell ref="E702:E703"/>
    <mergeCell ref="F702:F703"/>
    <mergeCell ref="G702:G703"/>
    <mergeCell ref="H702:H703"/>
    <mergeCell ref="I702:I703"/>
    <mergeCell ref="J702:J703"/>
    <mergeCell ref="F699:F701"/>
    <mergeCell ref="G699:G701"/>
    <mergeCell ref="H699:H701"/>
    <mergeCell ref="I699:I701"/>
    <mergeCell ref="J699:J701"/>
    <mergeCell ref="K699:K701"/>
    <mergeCell ref="L699:L701"/>
    <mergeCell ref="M699:M701"/>
    <mergeCell ref="N699:N701"/>
    <mergeCell ref="O699:O701"/>
    <mergeCell ref="U699:U701"/>
    <mergeCell ref="V699:V701"/>
    <mergeCell ref="P699:P701"/>
    <mergeCell ref="Q699:Q701"/>
    <mergeCell ref="R699:R701"/>
    <mergeCell ref="T699:T701"/>
    <mergeCell ref="AE702:AE703"/>
    <mergeCell ref="AF702:AF703"/>
    <mergeCell ref="AG702:AG703"/>
    <mergeCell ref="AG706:AG707"/>
    <mergeCell ref="AG704:AG705"/>
    <mergeCell ref="W699:W701"/>
    <mergeCell ref="X699:X701"/>
    <mergeCell ref="E708:E709"/>
    <mergeCell ref="F708:F709"/>
    <mergeCell ref="M708:M709"/>
    <mergeCell ref="N708:N709"/>
    <mergeCell ref="O708:O709"/>
    <mergeCell ref="P708:P709"/>
    <mergeCell ref="Y702:Y703"/>
    <mergeCell ref="Z702:Z703"/>
    <mergeCell ref="I708:I709"/>
    <mergeCell ref="A704:A713"/>
    <mergeCell ref="B704:B713"/>
    <mergeCell ref="C704:C713"/>
    <mergeCell ref="D704:D705"/>
    <mergeCell ref="E704:E705"/>
    <mergeCell ref="F704:F705"/>
    <mergeCell ref="G704:G705"/>
    <mergeCell ref="AA702:AA703"/>
    <mergeCell ref="AB702:AB703"/>
    <mergeCell ref="M702:M703"/>
    <mergeCell ref="N702:N703"/>
    <mergeCell ref="O702:O703"/>
    <mergeCell ref="P702:P703"/>
    <mergeCell ref="Q702:Q703"/>
    <mergeCell ref="R702:R703"/>
    <mergeCell ref="W702:W703"/>
    <mergeCell ref="X702:X703"/>
    <mergeCell ref="E706:E707"/>
    <mergeCell ref="F706:F707"/>
    <mergeCell ref="G706:G707"/>
    <mergeCell ref="H706:H707"/>
    <mergeCell ref="AC702:AC703"/>
    <mergeCell ref="AD702:AD703"/>
    <mergeCell ref="S702:S703"/>
    <mergeCell ref="T702:T703"/>
    <mergeCell ref="U702:U703"/>
    <mergeCell ref="V702:V703"/>
    <mergeCell ref="I706:I707"/>
    <mergeCell ref="J706:J707"/>
    <mergeCell ref="K706:K707"/>
    <mergeCell ref="L706:L707"/>
    <mergeCell ref="M706:M707"/>
    <mergeCell ref="S706:S707"/>
    <mergeCell ref="AF710:AF711"/>
    <mergeCell ref="AB706:AB707"/>
    <mergeCell ref="AC706:AC707"/>
    <mergeCell ref="AD706:AD707"/>
    <mergeCell ref="AE708:AE709"/>
    <mergeCell ref="AF708:AF709"/>
    <mergeCell ref="AF704:AF705"/>
    <mergeCell ref="U704:U705"/>
    <mergeCell ref="V704:V705"/>
    <mergeCell ref="W704:W705"/>
    <mergeCell ref="X704:X705"/>
    <mergeCell ref="Y704:Y705"/>
    <mergeCell ref="Z704:Z705"/>
    <mergeCell ref="AA704:AA705"/>
    <mergeCell ref="AB704:AB705"/>
    <mergeCell ref="H704:H705"/>
    <mergeCell ref="I704:I705"/>
    <mergeCell ref="J704:J705"/>
    <mergeCell ref="K704:K705"/>
    <mergeCell ref="L704:L705"/>
    <mergeCell ref="M704:M705"/>
    <mergeCell ref="N704:N705"/>
    <mergeCell ref="O704:O705"/>
    <mergeCell ref="P704:P705"/>
    <mergeCell ref="Q704:Q705"/>
    <mergeCell ref="R704:R705"/>
    <mergeCell ref="AC704:AC705"/>
    <mergeCell ref="T704:T705"/>
    <mergeCell ref="AA708:AA709"/>
    <mergeCell ref="AB708:AB709"/>
    <mergeCell ref="AC708:AC709"/>
    <mergeCell ref="AD708:AD709"/>
    <mergeCell ref="AD704:AD705"/>
    <mergeCell ref="AE704:AE705"/>
    <mergeCell ref="Y708:Y709"/>
    <mergeCell ref="Z708:Z709"/>
    <mergeCell ref="S708:S709"/>
    <mergeCell ref="T708:T709"/>
    <mergeCell ref="U708:U709"/>
    <mergeCell ref="V708:V709"/>
    <mergeCell ref="W708:W709"/>
    <mergeCell ref="X708:X709"/>
    <mergeCell ref="H710:H711"/>
    <mergeCell ref="I710:I711"/>
    <mergeCell ref="H708:H709"/>
    <mergeCell ref="Q708:Q709"/>
    <mergeCell ref="J710:J711"/>
    <mergeCell ref="K710:K711"/>
    <mergeCell ref="J708:J709"/>
    <mergeCell ref="R708:R709"/>
    <mergeCell ref="AF706:AF707"/>
    <mergeCell ref="K708:K709"/>
    <mergeCell ref="L708:L709"/>
    <mergeCell ref="Z706:Z707"/>
    <mergeCell ref="N706:N707"/>
    <mergeCell ref="O706:O707"/>
    <mergeCell ref="P706:P707"/>
    <mergeCell ref="Q706:Q707"/>
    <mergeCell ref="R706:R707"/>
    <mergeCell ref="AE712:AE713"/>
    <mergeCell ref="AF712:AF713"/>
    <mergeCell ref="AE706:AE707"/>
    <mergeCell ref="T706:T707"/>
    <mergeCell ref="U706:U707"/>
    <mergeCell ref="V706:V707"/>
    <mergeCell ref="W706:W707"/>
    <mergeCell ref="X706:X707"/>
    <mergeCell ref="Y706:Y707"/>
    <mergeCell ref="AA706:AA707"/>
    <mergeCell ref="AG712:AG713"/>
    <mergeCell ref="A714:A727"/>
    <mergeCell ref="B714:B727"/>
    <mergeCell ref="C714:C727"/>
    <mergeCell ref="D714:D715"/>
    <mergeCell ref="E714:E715"/>
    <mergeCell ref="W712:W713"/>
    <mergeCell ref="X712:X713"/>
    <mergeCell ref="Y712:Y713"/>
    <mergeCell ref="Z712:Z713"/>
    <mergeCell ref="AB712:AB713"/>
    <mergeCell ref="Q712:Q713"/>
    <mergeCell ref="R712:R713"/>
    <mergeCell ref="S712:S713"/>
    <mergeCell ref="T712:T713"/>
    <mergeCell ref="K712:K713"/>
    <mergeCell ref="L712:L713"/>
    <mergeCell ref="M712:M713"/>
    <mergeCell ref="N712:N713"/>
    <mergeCell ref="AD710:AD711"/>
    <mergeCell ref="AE710:AE711"/>
    <mergeCell ref="Z710:Z711"/>
    <mergeCell ref="AA710:AA711"/>
    <mergeCell ref="AB710:AB711"/>
    <mergeCell ref="U712:U713"/>
    <mergeCell ref="V712:V713"/>
    <mergeCell ref="AC712:AC713"/>
    <mergeCell ref="AD712:AD713"/>
    <mergeCell ref="AA712:AA713"/>
    <mergeCell ref="AG710:AG711"/>
    <mergeCell ref="E712:E713"/>
    <mergeCell ref="F712:F713"/>
    <mergeCell ref="G712:G713"/>
    <mergeCell ref="H712:H713"/>
    <mergeCell ref="I712:I713"/>
    <mergeCell ref="J712:J713"/>
    <mergeCell ref="X710:X711"/>
    <mergeCell ref="Y710:Y711"/>
    <mergeCell ref="O712:O713"/>
    <mergeCell ref="AE716:AE717"/>
    <mergeCell ref="AG708:AG709"/>
    <mergeCell ref="E710:E711"/>
    <mergeCell ref="F710:F711"/>
    <mergeCell ref="G710:G711"/>
    <mergeCell ref="G708:G709"/>
    <mergeCell ref="N710:N711"/>
    <mergeCell ref="O710:O711"/>
    <mergeCell ref="P710:P711"/>
    <mergeCell ref="Q710:Q711"/>
    <mergeCell ref="AC716:AC717"/>
    <mergeCell ref="AG719:AG720"/>
    <mergeCell ref="AC710:AC711"/>
    <mergeCell ref="R710:R711"/>
    <mergeCell ref="S710:S711"/>
    <mergeCell ref="T710:T711"/>
    <mergeCell ref="U710:U711"/>
    <mergeCell ref="V710:V711"/>
    <mergeCell ref="W710:W711"/>
    <mergeCell ref="AD716:AD717"/>
    <mergeCell ref="E719:E720"/>
    <mergeCell ref="F719:F720"/>
    <mergeCell ref="G719:G720"/>
    <mergeCell ref="H719:H720"/>
    <mergeCell ref="Z716:Z717"/>
    <mergeCell ref="AA716:AA717"/>
    <mergeCell ref="L710:L711"/>
    <mergeCell ref="M710:M711"/>
    <mergeCell ref="N716:N717"/>
    <mergeCell ref="O716:O717"/>
    <mergeCell ref="O714:O715"/>
    <mergeCell ref="P714:P715"/>
    <mergeCell ref="P712:P713"/>
    <mergeCell ref="I719:I720"/>
    <mergeCell ref="J719:J720"/>
    <mergeCell ref="X716:X717"/>
    <mergeCell ref="Y716:Y717"/>
    <mergeCell ref="R716:R717"/>
    <mergeCell ref="S716:S717"/>
    <mergeCell ref="T716:T717"/>
    <mergeCell ref="U716:U717"/>
    <mergeCell ref="V716:V717"/>
    <mergeCell ref="W716:W717"/>
    <mergeCell ref="AE714:AE715"/>
    <mergeCell ref="AF714:AF715"/>
    <mergeCell ref="J716:J717"/>
    <mergeCell ref="K716:K717"/>
    <mergeCell ref="L716:L717"/>
    <mergeCell ref="M716:M717"/>
    <mergeCell ref="P716:P717"/>
    <mergeCell ref="Q716:Q717"/>
    <mergeCell ref="Q714:Q715"/>
    <mergeCell ref="AB716:AB717"/>
    <mergeCell ref="AC714:AC715"/>
    <mergeCell ref="AD714:AD715"/>
    <mergeCell ref="R714:R715"/>
    <mergeCell ref="T714:T715"/>
    <mergeCell ref="AA714:AA715"/>
    <mergeCell ref="AB714:AB715"/>
    <mergeCell ref="U714:U715"/>
    <mergeCell ref="V714:V715"/>
    <mergeCell ref="W714:W715"/>
    <mergeCell ref="X714:X715"/>
    <mergeCell ref="AG714:AG715"/>
    <mergeCell ref="E716:E717"/>
    <mergeCell ref="F716:F717"/>
    <mergeCell ref="G716:G717"/>
    <mergeCell ref="H716:H717"/>
    <mergeCell ref="I716:I717"/>
    <mergeCell ref="Y714:Y715"/>
    <mergeCell ref="Z714:Z715"/>
    <mergeCell ref="AE726:AE727"/>
    <mergeCell ref="AD724:AD725"/>
    <mergeCell ref="AE724:AE725"/>
    <mergeCell ref="AB722:AB723"/>
    <mergeCell ref="AC722:AC723"/>
    <mergeCell ref="AD722:AD723"/>
    <mergeCell ref="AE722:AE723"/>
    <mergeCell ref="AB719:AB720"/>
    <mergeCell ref="Y724:Y725"/>
    <mergeCell ref="AC724:AC725"/>
    <mergeCell ref="AF724:AF725"/>
    <mergeCell ref="T726:T727"/>
    <mergeCell ref="U726:U727"/>
    <mergeCell ref="J726:J727"/>
    <mergeCell ref="K726:K727"/>
    <mergeCell ref="L726:L727"/>
    <mergeCell ref="M726:M727"/>
    <mergeCell ref="N726:N727"/>
    <mergeCell ref="M714:M715"/>
    <mergeCell ref="N714:N715"/>
    <mergeCell ref="AG724:AG725"/>
    <mergeCell ref="E726:E727"/>
    <mergeCell ref="F726:F727"/>
    <mergeCell ref="G726:G727"/>
    <mergeCell ref="H726:H727"/>
    <mergeCell ref="I726:I727"/>
    <mergeCell ref="W724:W725"/>
    <mergeCell ref="X724:X725"/>
    <mergeCell ref="F714:F715"/>
    <mergeCell ref="G714:G715"/>
    <mergeCell ref="H714:H715"/>
    <mergeCell ref="I714:I715"/>
    <mergeCell ref="K714:K715"/>
    <mergeCell ref="L714:L715"/>
    <mergeCell ref="J714:J715"/>
    <mergeCell ref="R722:R723"/>
    <mergeCell ref="S722:S723"/>
    <mergeCell ref="AF722:AF723"/>
    <mergeCell ref="T722:T723"/>
    <mergeCell ref="U722:U723"/>
    <mergeCell ref="J722:J723"/>
    <mergeCell ref="K722:K723"/>
    <mergeCell ref="L722:L723"/>
    <mergeCell ref="M722:M723"/>
    <mergeCell ref="Q722:Q723"/>
    <mergeCell ref="AG722:AG723"/>
    <mergeCell ref="V722:V723"/>
    <mergeCell ref="W722:W723"/>
    <mergeCell ref="X722:X723"/>
    <mergeCell ref="Y722:Y723"/>
    <mergeCell ref="Z722:Z723"/>
    <mergeCell ref="AA722:AA723"/>
    <mergeCell ref="B734:B736"/>
    <mergeCell ref="C734:C736"/>
    <mergeCell ref="D734:D735"/>
    <mergeCell ref="E734:E735"/>
    <mergeCell ref="AF716:AF717"/>
    <mergeCell ref="AG716:AG717"/>
    <mergeCell ref="AC719:AC720"/>
    <mergeCell ref="AD719:AD720"/>
    <mergeCell ref="AE719:AE720"/>
    <mergeCell ref="AF719:AF720"/>
    <mergeCell ref="F734:F735"/>
    <mergeCell ref="AG728:AG729"/>
    <mergeCell ref="A731:A733"/>
    <mergeCell ref="B731:B733"/>
    <mergeCell ref="C731:C733"/>
    <mergeCell ref="D731:D732"/>
    <mergeCell ref="E731:E732"/>
    <mergeCell ref="F731:F732"/>
    <mergeCell ref="G731:G732"/>
    <mergeCell ref="J731:J732"/>
    <mergeCell ref="K731:K732"/>
    <mergeCell ref="H731:H732"/>
    <mergeCell ref="I731:I732"/>
    <mergeCell ref="Z728:Z729"/>
    <mergeCell ref="P728:P729"/>
    <mergeCell ref="W731:W732"/>
    <mergeCell ref="X731:X732"/>
    <mergeCell ref="N728:N729"/>
    <mergeCell ref="O728:O729"/>
    <mergeCell ref="AA728:AA729"/>
    <mergeCell ref="N731:N732"/>
    <mergeCell ref="O731:O732"/>
    <mergeCell ref="L731:L732"/>
    <mergeCell ref="M731:M732"/>
    <mergeCell ref="R731:R732"/>
    <mergeCell ref="T731:T732"/>
    <mergeCell ref="P731:P732"/>
    <mergeCell ref="Q731:Q732"/>
    <mergeCell ref="Q728:Q729"/>
    <mergeCell ref="N719:N720"/>
    <mergeCell ref="O719:O720"/>
    <mergeCell ref="P719:P720"/>
    <mergeCell ref="E722:E723"/>
    <mergeCell ref="F722:F723"/>
    <mergeCell ref="G722:G723"/>
    <mergeCell ref="H722:H723"/>
    <mergeCell ref="N722:N723"/>
    <mergeCell ref="O722:O723"/>
    <mergeCell ref="P722:P723"/>
    <mergeCell ref="S724:S725"/>
    <mergeCell ref="T724:T725"/>
    <mergeCell ref="U724:U725"/>
    <mergeCell ref="U719:U720"/>
    <mergeCell ref="V719:V720"/>
    <mergeCell ref="W719:W720"/>
    <mergeCell ref="S719:S720"/>
    <mergeCell ref="T719:T720"/>
    <mergeCell ref="V724:V725"/>
    <mergeCell ref="C728:C730"/>
    <mergeCell ref="D728:D729"/>
    <mergeCell ref="E728:E729"/>
    <mergeCell ref="F728:F729"/>
    <mergeCell ref="O726:O727"/>
    <mergeCell ref="P726:P727"/>
    <mergeCell ref="Z719:Z720"/>
    <mergeCell ref="AA719:AA720"/>
    <mergeCell ref="I722:I723"/>
    <mergeCell ref="K719:K720"/>
    <mergeCell ref="L719:L720"/>
    <mergeCell ref="M719:M720"/>
    <mergeCell ref="Y719:Y720"/>
    <mergeCell ref="X719:X720"/>
    <mergeCell ref="Q719:Q720"/>
    <mergeCell ref="R719:R720"/>
    <mergeCell ref="AG726:AG727"/>
    <mergeCell ref="V726:V727"/>
    <mergeCell ref="W726:W727"/>
    <mergeCell ref="X726:X727"/>
    <mergeCell ref="Y726:Y727"/>
    <mergeCell ref="Z726:Z727"/>
    <mergeCell ref="AA726:AA727"/>
    <mergeCell ref="AC726:AC727"/>
    <mergeCell ref="AD726:AD727"/>
    <mergeCell ref="AF726:AF727"/>
    <mergeCell ref="AD734:AD735"/>
    <mergeCell ref="Z724:Z725"/>
    <mergeCell ref="AA724:AA725"/>
    <mergeCell ref="AB724:AB725"/>
    <mergeCell ref="AB728:AB729"/>
    <mergeCell ref="AC728:AC729"/>
    <mergeCell ref="AD728:AD729"/>
    <mergeCell ref="AB726:AB727"/>
    <mergeCell ref="AB734:AB735"/>
    <mergeCell ref="AC734:AC735"/>
    <mergeCell ref="Q724:Q725"/>
    <mergeCell ref="R724:R725"/>
    <mergeCell ref="K724:K725"/>
    <mergeCell ref="L724:L725"/>
    <mergeCell ref="M724:M725"/>
    <mergeCell ref="N724:N725"/>
    <mergeCell ref="E724:E725"/>
    <mergeCell ref="F724:F725"/>
    <mergeCell ref="G724:G725"/>
    <mergeCell ref="H724:H725"/>
    <mergeCell ref="O724:O725"/>
    <mergeCell ref="P724:P725"/>
    <mergeCell ref="I724:I725"/>
    <mergeCell ref="J724:J725"/>
    <mergeCell ref="AC731:AC732"/>
    <mergeCell ref="AD731:AD732"/>
    <mergeCell ref="Y731:Y732"/>
    <mergeCell ref="Z731:Z732"/>
    <mergeCell ref="AA731:AA732"/>
    <mergeCell ref="AB731:AB732"/>
    <mergeCell ref="U731:U732"/>
    <mergeCell ref="V731:V732"/>
    <mergeCell ref="Q726:Q727"/>
    <mergeCell ref="R726:R727"/>
    <mergeCell ref="S726:S727"/>
    <mergeCell ref="AF728:AF729"/>
    <mergeCell ref="T728:T729"/>
    <mergeCell ref="U728:U729"/>
    <mergeCell ref="V728:V729"/>
    <mergeCell ref="W728:W729"/>
    <mergeCell ref="X728:X729"/>
    <mergeCell ref="Y728:Y729"/>
    <mergeCell ref="AF737:AF738"/>
    <mergeCell ref="AG737:AG738"/>
    <mergeCell ref="R728:R729"/>
    <mergeCell ref="G728:G729"/>
    <mergeCell ref="H728:H729"/>
    <mergeCell ref="I728:I729"/>
    <mergeCell ref="J728:J729"/>
    <mergeCell ref="K728:K729"/>
    <mergeCell ref="L728:L729"/>
    <mergeCell ref="M728:M729"/>
    <mergeCell ref="A728:A730"/>
    <mergeCell ref="B728:B730"/>
    <mergeCell ref="AC737:AC738"/>
    <mergeCell ref="AD737:AD738"/>
    <mergeCell ref="Y737:Y738"/>
    <mergeCell ref="Z737:Z738"/>
    <mergeCell ref="AA737:AA738"/>
    <mergeCell ref="AB737:AB738"/>
    <mergeCell ref="J737:J738"/>
    <mergeCell ref="K737:K738"/>
    <mergeCell ref="E739:E740"/>
    <mergeCell ref="F739:F740"/>
    <mergeCell ref="G739:G740"/>
    <mergeCell ref="H739:H740"/>
    <mergeCell ref="N737:N738"/>
    <mergeCell ref="O737:O738"/>
    <mergeCell ref="I739:I740"/>
    <mergeCell ref="J739:J740"/>
    <mergeCell ref="P737:P738"/>
    <mergeCell ref="Q737:Q738"/>
    <mergeCell ref="R737:R738"/>
    <mergeCell ref="T737:T738"/>
    <mergeCell ref="U737:U738"/>
    <mergeCell ref="V737:V738"/>
    <mergeCell ref="L737:L738"/>
    <mergeCell ref="M737:M738"/>
    <mergeCell ref="Z734:Z735"/>
    <mergeCell ref="AA734:AA735"/>
    <mergeCell ref="F737:F738"/>
    <mergeCell ref="G737:G738"/>
    <mergeCell ref="H737:H738"/>
    <mergeCell ref="I737:I738"/>
    <mergeCell ref="W737:W738"/>
    <mergeCell ref="X737:X738"/>
    <mergeCell ref="AG734:AG735"/>
    <mergeCell ref="A737:A750"/>
    <mergeCell ref="B737:B750"/>
    <mergeCell ref="C737:C750"/>
    <mergeCell ref="D737:D738"/>
    <mergeCell ref="E737:E738"/>
    <mergeCell ref="M734:M735"/>
    <mergeCell ref="N734:N735"/>
    <mergeCell ref="O734:O735"/>
    <mergeCell ref="P734:P735"/>
    <mergeCell ref="AF731:AF732"/>
    <mergeCell ref="AG731:AG732"/>
    <mergeCell ref="A734:A736"/>
    <mergeCell ref="AF734:AF735"/>
    <mergeCell ref="T734:T735"/>
    <mergeCell ref="U734:U735"/>
    <mergeCell ref="V734:V735"/>
    <mergeCell ref="W734:W735"/>
    <mergeCell ref="X734:X735"/>
    <mergeCell ref="Y734:Y735"/>
    <mergeCell ref="AE739:AE740"/>
    <mergeCell ref="AA743:AA744"/>
    <mergeCell ref="AB743:AB744"/>
    <mergeCell ref="Q743:Q744"/>
    <mergeCell ref="V739:V740"/>
    <mergeCell ref="T743:T744"/>
    <mergeCell ref="U743:U744"/>
    <mergeCell ref="G734:G735"/>
    <mergeCell ref="H734:H735"/>
    <mergeCell ref="I734:I735"/>
    <mergeCell ref="J734:J735"/>
    <mergeCell ref="AD741:AD742"/>
    <mergeCell ref="AE741:AE742"/>
    <mergeCell ref="Q734:Q735"/>
    <mergeCell ref="R734:R735"/>
    <mergeCell ref="R741:R742"/>
    <mergeCell ref="S741:S742"/>
    <mergeCell ref="K734:K735"/>
    <mergeCell ref="L734:L735"/>
    <mergeCell ref="P741:P742"/>
    <mergeCell ref="Q741:Q742"/>
    <mergeCell ref="N741:N742"/>
    <mergeCell ref="O741:O742"/>
    <mergeCell ref="K739:K740"/>
    <mergeCell ref="L739:L740"/>
    <mergeCell ref="M739:M740"/>
    <mergeCell ref="N739:N740"/>
    <mergeCell ref="J741:J742"/>
    <mergeCell ref="K741:K742"/>
    <mergeCell ref="L741:L742"/>
    <mergeCell ref="M741:M742"/>
    <mergeCell ref="AF741:AF742"/>
    <mergeCell ref="AG741:AG742"/>
    <mergeCell ref="V741:V742"/>
    <mergeCell ref="W741:W742"/>
    <mergeCell ref="X741:X742"/>
    <mergeCell ref="Y741:Y742"/>
    <mergeCell ref="AG739:AG740"/>
    <mergeCell ref="W739:W740"/>
    <mergeCell ref="X739:X740"/>
    <mergeCell ref="Y739:Y740"/>
    <mergeCell ref="AF739:AF740"/>
    <mergeCell ref="T741:T742"/>
    <mergeCell ref="U741:U742"/>
    <mergeCell ref="Z741:Z742"/>
    <mergeCell ref="AA741:AA742"/>
    <mergeCell ref="AB741:AB742"/>
    <mergeCell ref="AE745:AE746"/>
    <mergeCell ref="Z739:Z740"/>
    <mergeCell ref="AA739:AA740"/>
    <mergeCell ref="AB739:AB740"/>
    <mergeCell ref="Q739:Q740"/>
    <mergeCell ref="R739:R740"/>
    <mergeCell ref="S739:S740"/>
    <mergeCell ref="AC741:AC742"/>
    <mergeCell ref="T739:T740"/>
    <mergeCell ref="U739:U740"/>
    <mergeCell ref="Q745:Q746"/>
    <mergeCell ref="R745:R746"/>
    <mergeCell ref="S745:S746"/>
    <mergeCell ref="O739:O740"/>
    <mergeCell ref="P739:P740"/>
    <mergeCell ref="AD745:AD746"/>
    <mergeCell ref="AC739:AC740"/>
    <mergeCell ref="AD739:AD740"/>
    <mergeCell ref="J745:J746"/>
    <mergeCell ref="K745:K746"/>
    <mergeCell ref="L745:L746"/>
    <mergeCell ref="M745:M746"/>
    <mergeCell ref="AF745:AF746"/>
    <mergeCell ref="AG745:AG746"/>
    <mergeCell ref="V745:V746"/>
    <mergeCell ref="W745:W746"/>
    <mergeCell ref="X745:X746"/>
    <mergeCell ref="Y745:Y746"/>
    <mergeCell ref="V743:V744"/>
    <mergeCell ref="N745:N746"/>
    <mergeCell ref="O745:O746"/>
    <mergeCell ref="AC743:AC744"/>
    <mergeCell ref="AD743:AD744"/>
    <mergeCell ref="O743:O744"/>
    <mergeCell ref="P743:P744"/>
    <mergeCell ref="R743:R744"/>
    <mergeCell ref="S743:S744"/>
    <mergeCell ref="P745:P746"/>
    <mergeCell ref="T745:T746"/>
    <mergeCell ref="U745:U746"/>
    <mergeCell ref="Z745:Z746"/>
    <mergeCell ref="AA745:AA746"/>
    <mergeCell ref="AB745:AB746"/>
    <mergeCell ref="AC745:AC746"/>
    <mergeCell ref="AG743:AG744"/>
    <mergeCell ref="W743:W744"/>
    <mergeCell ref="X743:X744"/>
    <mergeCell ref="Y743:Y744"/>
    <mergeCell ref="Z743:Z744"/>
    <mergeCell ref="AE743:AE744"/>
    <mergeCell ref="AF743:AF744"/>
    <mergeCell ref="L749:L750"/>
    <mergeCell ref="M749:M750"/>
    <mergeCell ref="AG749:AG750"/>
    <mergeCell ref="V749:V750"/>
    <mergeCell ref="W749:W750"/>
    <mergeCell ref="X749:X750"/>
    <mergeCell ref="Y749:Y750"/>
    <mergeCell ref="AE749:AE750"/>
    <mergeCell ref="AC747:AC748"/>
    <mergeCell ref="AD747:AD748"/>
    <mergeCell ref="Q747:Q748"/>
    <mergeCell ref="R747:R748"/>
    <mergeCell ref="S747:S748"/>
    <mergeCell ref="AD749:AD750"/>
    <mergeCell ref="Q749:Q750"/>
    <mergeCell ref="AE747:AE748"/>
    <mergeCell ref="AF747:AF748"/>
    <mergeCell ref="T749:T750"/>
    <mergeCell ref="U749:U750"/>
    <mergeCell ref="Z749:Z750"/>
    <mergeCell ref="AA749:AA750"/>
    <mergeCell ref="AB749:AB750"/>
    <mergeCell ref="AC749:AC750"/>
    <mergeCell ref="AA747:AA748"/>
    <mergeCell ref="AB747:AB748"/>
    <mergeCell ref="F741:F742"/>
    <mergeCell ref="G741:G742"/>
    <mergeCell ref="H741:H742"/>
    <mergeCell ref="AG747:AG748"/>
    <mergeCell ref="E749:E750"/>
    <mergeCell ref="F749:F750"/>
    <mergeCell ref="G749:G750"/>
    <mergeCell ref="H749:H750"/>
    <mergeCell ref="I749:I750"/>
    <mergeCell ref="W747:W748"/>
    <mergeCell ref="G743:G744"/>
    <mergeCell ref="I741:I742"/>
    <mergeCell ref="E745:E746"/>
    <mergeCell ref="F745:F746"/>
    <mergeCell ref="G745:G746"/>
    <mergeCell ref="H745:H746"/>
    <mergeCell ref="I745:I746"/>
    <mergeCell ref="H743:H744"/>
    <mergeCell ref="I743:I744"/>
    <mergeCell ref="E741:E742"/>
    <mergeCell ref="AF751:AF752"/>
    <mergeCell ref="L753:L754"/>
    <mergeCell ref="M753:M754"/>
    <mergeCell ref="Z751:Z752"/>
    <mergeCell ref="AA751:AA752"/>
    <mergeCell ref="T751:T752"/>
    <mergeCell ref="U751:U752"/>
    <mergeCell ref="W753:W754"/>
    <mergeCell ref="K743:K744"/>
    <mergeCell ref="L743:L744"/>
    <mergeCell ref="M743:M744"/>
    <mergeCell ref="N743:N744"/>
    <mergeCell ref="AC751:AC752"/>
    <mergeCell ref="AD751:AD752"/>
    <mergeCell ref="X747:X748"/>
    <mergeCell ref="Y747:Y748"/>
    <mergeCell ref="Z747:Z748"/>
    <mergeCell ref="N749:N750"/>
    <mergeCell ref="J743:J744"/>
    <mergeCell ref="C751:C754"/>
    <mergeCell ref="D751:D752"/>
    <mergeCell ref="E751:E752"/>
    <mergeCell ref="F751:F752"/>
    <mergeCell ref="E743:E744"/>
    <mergeCell ref="F743:F744"/>
    <mergeCell ref="E747:E748"/>
    <mergeCell ref="F747:F748"/>
    <mergeCell ref="G747:G748"/>
    <mergeCell ref="R749:R750"/>
    <mergeCell ref="S749:S750"/>
    <mergeCell ref="AF749:AF750"/>
    <mergeCell ref="AA755:AA756"/>
    <mergeCell ref="T755:T756"/>
    <mergeCell ref="U755:U756"/>
    <mergeCell ref="AD753:AD754"/>
    <mergeCell ref="AE753:AE754"/>
    <mergeCell ref="U753:U754"/>
    <mergeCell ref="V753:V754"/>
    <mergeCell ref="P747:P748"/>
    <mergeCell ref="I755:I756"/>
    <mergeCell ref="J755:J756"/>
    <mergeCell ref="K755:K756"/>
    <mergeCell ref="O755:O756"/>
    <mergeCell ref="P755:P756"/>
    <mergeCell ref="O749:O750"/>
    <mergeCell ref="P749:P750"/>
    <mergeCell ref="J749:J750"/>
    <mergeCell ref="K749:K750"/>
    <mergeCell ref="T747:T748"/>
    <mergeCell ref="I747:I748"/>
    <mergeCell ref="J747:J748"/>
    <mergeCell ref="N753:N754"/>
    <mergeCell ref="O753:O754"/>
    <mergeCell ref="K753:K754"/>
    <mergeCell ref="T753:T754"/>
    <mergeCell ref="K751:K752"/>
    <mergeCell ref="L751:L752"/>
    <mergeCell ref="O747:O748"/>
    <mergeCell ref="G755:G756"/>
    <mergeCell ref="H755:H756"/>
    <mergeCell ref="P753:P754"/>
    <mergeCell ref="H747:H748"/>
    <mergeCell ref="U747:U748"/>
    <mergeCell ref="V747:V748"/>
    <mergeCell ref="K747:K748"/>
    <mergeCell ref="L747:L748"/>
    <mergeCell ref="M747:M748"/>
    <mergeCell ref="N747:N748"/>
    <mergeCell ref="A755:A762"/>
    <mergeCell ref="B755:B762"/>
    <mergeCell ref="C755:C762"/>
    <mergeCell ref="D755:D756"/>
    <mergeCell ref="E755:E756"/>
    <mergeCell ref="F755:F756"/>
    <mergeCell ref="F753:F754"/>
    <mergeCell ref="G753:G754"/>
    <mergeCell ref="H753:H754"/>
    <mergeCell ref="I753:I754"/>
    <mergeCell ref="J753:J754"/>
    <mergeCell ref="AG753:AG754"/>
    <mergeCell ref="AB751:AB752"/>
    <mergeCell ref="V751:V752"/>
    <mergeCell ref="W751:W752"/>
    <mergeCell ref="X751:X752"/>
    <mergeCell ref="R753:R754"/>
    <mergeCell ref="S753:S754"/>
    <mergeCell ref="X753:X754"/>
    <mergeCell ref="Y753:Y754"/>
    <mergeCell ref="Z753:Z754"/>
    <mergeCell ref="U759:U760"/>
    <mergeCell ref="V759:V760"/>
    <mergeCell ref="Q751:Q752"/>
    <mergeCell ref="R751:R752"/>
    <mergeCell ref="U757:U758"/>
    <mergeCell ref="AG751:AG752"/>
    <mergeCell ref="AA753:AA754"/>
    <mergeCell ref="AB753:AB754"/>
    <mergeCell ref="AC753:AC754"/>
    <mergeCell ref="AF753:AF754"/>
    <mergeCell ref="G751:G752"/>
    <mergeCell ref="H751:H752"/>
    <mergeCell ref="I751:I752"/>
    <mergeCell ref="J751:J752"/>
    <mergeCell ref="I759:I760"/>
    <mergeCell ref="E759:E760"/>
    <mergeCell ref="F759:F760"/>
    <mergeCell ref="G759:G760"/>
    <mergeCell ref="H759:H760"/>
    <mergeCell ref="E753:E754"/>
    <mergeCell ref="X757:X758"/>
    <mergeCell ref="Y757:Y758"/>
    <mergeCell ref="Z757:Z758"/>
    <mergeCell ref="Y751:Y752"/>
    <mergeCell ref="M751:M752"/>
    <mergeCell ref="N751:N752"/>
    <mergeCell ref="O751:O752"/>
    <mergeCell ref="P751:P752"/>
    <mergeCell ref="Q755:Q756"/>
    <mergeCell ref="R755:R756"/>
    <mergeCell ref="Q757:Q758"/>
    <mergeCell ref="R757:R758"/>
    <mergeCell ref="S757:S758"/>
    <mergeCell ref="AG757:AG758"/>
    <mergeCell ref="A751:A754"/>
    <mergeCell ref="B751:B754"/>
    <mergeCell ref="AB757:AB758"/>
    <mergeCell ref="AC757:AC758"/>
    <mergeCell ref="V757:V758"/>
    <mergeCell ref="W757:W758"/>
    <mergeCell ref="AE757:AE758"/>
    <mergeCell ref="AA757:AA758"/>
    <mergeCell ref="J757:J758"/>
    <mergeCell ref="K757:K758"/>
    <mergeCell ref="L757:L758"/>
    <mergeCell ref="M757:M758"/>
    <mergeCell ref="N757:N758"/>
    <mergeCell ref="O757:O758"/>
    <mergeCell ref="T757:T758"/>
    <mergeCell ref="P757:P758"/>
    <mergeCell ref="AG755:AG756"/>
    <mergeCell ref="E757:E758"/>
    <mergeCell ref="F757:F758"/>
    <mergeCell ref="G757:G758"/>
    <mergeCell ref="H757:H758"/>
    <mergeCell ref="I757:I758"/>
    <mergeCell ref="V755:V756"/>
    <mergeCell ref="W755:W756"/>
    <mergeCell ref="X755:X756"/>
    <mergeCell ref="AB755:AB756"/>
    <mergeCell ref="Y755:Y756"/>
    <mergeCell ref="Q753:Q754"/>
    <mergeCell ref="Z755:Z756"/>
    <mergeCell ref="K759:K760"/>
    <mergeCell ref="L759:L760"/>
    <mergeCell ref="AF757:AF758"/>
    <mergeCell ref="AC755:AC756"/>
    <mergeCell ref="AD755:AD756"/>
    <mergeCell ref="AF755:AF756"/>
    <mergeCell ref="AD757:AD758"/>
    <mergeCell ref="Q763:Q765"/>
    <mergeCell ref="R763:R765"/>
    <mergeCell ref="G763:G765"/>
    <mergeCell ref="H763:H765"/>
    <mergeCell ref="I763:I765"/>
    <mergeCell ref="J763:J765"/>
    <mergeCell ref="K763:K765"/>
    <mergeCell ref="L763:L765"/>
    <mergeCell ref="M763:M765"/>
    <mergeCell ref="N763:N765"/>
    <mergeCell ref="A763:A769"/>
    <mergeCell ref="L755:L756"/>
    <mergeCell ref="M755:M756"/>
    <mergeCell ref="N755:N756"/>
    <mergeCell ref="C763:C769"/>
    <mergeCell ref="D763:D765"/>
    <mergeCell ref="E763:E765"/>
    <mergeCell ref="F763:F765"/>
    <mergeCell ref="M759:M760"/>
    <mergeCell ref="N759:N760"/>
    <mergeCell ref="P761:P762"/>
    <mergeCell ref="Q761:Q762"/>
    <mergeCell ref="R761:R762"/>
    <mergeCell ref="S761:S762"/>
    <mergeCell ref="AD761:AD762"/>
    <mergeCell ref="AE761:AE762"/>
    <mergeCell ref="J761:J762"/>
    <mergeCell ref="K761:K762"/>
    <mergeCell ref="L761:L762"/>
    <mergeCell ref="M761:M762"/>
    <mergeCell ref="AF761:AF762"/>
    <mergeCell ref="AG761:AG762"/>
    <mergeCell ref="V761:V762"/>
    <mergeCell ref="W761:W762"/>
    <mergeCell ref="X761:X762"/>
    <mergeCell ref="Y761:Y762"/>
    <mergeCell ref="N761:N762"/>
    <mergeCell ref="O761:O762"/>
    <mergeCell ref="AC759:AC760"/>
    <mergeCell ref="AD759:AD760"/>
    <mergeCell ref="O759:O760"/>
    <mergeCell ref="P759:P760"/>
    <mergeCell ref="Q759:Q760"/>
    <mergeCell ref="R759:R760"/>
    <mergeCell ref="S759:S760"/>
    <mergeCell ref="T759:T760"/>
    <mergeCell ref="AE759:AE760"/>
    <mergeCell ref="AF759:AF760"/>
    <mergeCell ref="T761:T762"/>
    <mergeCell ref="U761:U762"/>
    <mergeCell ref="Z761:Z762"/>
    <mergeCell ref="AA761:AA762"/>
    <mergeCell ref="AB761:AB762"/>
    <mergeCell ref="AC761:AC762"/>
    <mergeCell ref="AA759:AA760"/>
    <mergeCell ref="AB759:AB760"/>
    <mergeCell ref="AG759:AG760"/>
    <mergeCell ref="E761:E762"/>
    <mergeCell ref="F761:F762"/>
    <mergeCell ref="G761:G762"/>
    <mergeCell ref="H761:H762"/>
    <mergeCell ref="I761:I762"/>
    <mergeCell ref="W759:W760"/>
    <mergeCell ref="X759:X760"/>
    <mergeCell ref="Y759:Y760"/>
    <mergeCell ref="Z759:Z760"/>
    <mergeCell ref="AA770:AA771"/>
    <mergeCell ref="AB770:AB771"/>
    <mergeCell ref="K773:K774"/>
    <mergeCell ref="L773:L774"/>
    <mergeCell ref="M773:M774"/>
    <mergeCell ref="N773:N774"/>
    <mergeCell ref="AF770:AF771"/>
    <mergeCell ref="AG770:AG771"/>
    <mergeCell ref="W770:W771"/>
    <mergeCell ref="X770:X771"/>
    <mergeCell ref="AE781:AE782"/>
    <mergeCell ref="J759:J760"/>
    <mergeCell ref="AC770:AC771"/>
    <mergeCell ref="AD770:AD771"/>
    <mergeCell ref="Y770:Y771"/>
    <mergeCell ref="Z770:Z771"/>
    <mergeCell ref="A773:A775"/>
    <mergeCell ref="B773:B775"/>
    <mergeCell ref="C773:C775"/>
    <mergeCell ref="D773:D774"/>
    <mergeCell ref="U770:U771"/>
    <mergeCell ref="V770:V771"/>
    <mergeCell ref="G773:G774"/>
    <mergeCell ref="H773:H774"/>
    <mergeCell ref="I773:I774"/>
    <mergeCell ref="J773:J774"/>
    <mergeCell ref="O770:O771"/>
    <mergeCell ref="E773:E774"/>
    <mergeCell ref="F773:F774"/>
    <mergeCell ref="J770:J771"/>
    <mergeCell ref="K770:K771"/>
    <mergeCell ref="H770:H771"/>
    <mergeCell ref="I770:I771"/>
    <mergeCell ref="G770:G771"/>
    <mergeCell ref="AD763:AD765"/>
    <mergeCell ref="AF763:AF765"/>
    <mergeCell ref="L770:L771"/>
    <mergeCell ref="M770:M771"/>
    <mergeCell ref="R770:R771"/>
    <mergeCell ref="T770:T771"/>
    <mergeCell ref="P770:P771"/>
    <mergeCell ref="Q770:Q771"/>
    <mergeCell ref="N770:N771"/>
    <mergeCell ref="U763:U765"/>
    <mergeCell ref="V763:V765"/>
    <mergeCell ref="W763:W765"/>
    <mergeCell ref="AG763:AG765"/>
    <mergeCell ref="A770:A772"/>
    <mergeCell ref="B770:B772"/>
    <mergeCell ref="C770:C772"/>
    <mergeCell ref="D770:D771"/>
    <mergeCell ref="E770:E771"/>
    <mergeCell ref="F770:F771"/>
    <mergeCell ref="R779:R780"/>
    <mergeCell ref="O763:O765"/>
    <mergeCell ref="P763:P765"/>
    <mergeCell ref="AB763:AB765"/>
    <mergeCell ref="AC763:AC765"/>
    <mergeCell ref="X763:X765"/>
    <mergeCell ref="Y763:Y765"/>
    <mergeCell ref="Z763:Z765"/>
    <mergeCell ref="AA763:AA765"/>
    <mergeCell ref="T763:T765"/>
    <mergeCell ref="K779:K780"/>
    <mergeCell ref="L779:L780"/>
    <mergeCell ref="M779:M780"/>
    <mergeCell ref="N779:N780"/>
    <mergeCell ref="O779:O780"/>
    <mergeCell ref="P779:P780"/>
    <mergeCell ref="A779:A782"/>
    <mergeCell ref="B779:B782"/>
    <mergeCell ref="G779:G780"/>
    <mergeCell ref="H779:H780"/>
    <mergeCell ref="E781:E782"/>
    <mergeCell ref="F781:F782"/>
    <mergeCell ref="G781:G782"/>
    <mergeCell ref="H781:H782"/>
    <mergeCell ref="I779:I780"/>
    <mergeCell ref="J779:J780"/>
    <mergeCell ref="Z776:Z777"/>
    <mergeCell ref="AA776:AA777"/>
    <mergeCell ref="Q776:Q777"/>
    <mergeCell ref="R776:R777"/>
    <mergeCell ref="V779:V780"/>
    <mergeCell ref="W779:W780"/>
    <mergeCell ref="X779:X780"/>
    <mergeCell ref="Y779:Y780"/>
    <mergeCell ref="AF785:AF786"/>
    <mergeCell ref="B763:B769"/>
    <mergeCell ref="C779:C782"/>
    <mergeCell ref="D779:D780"/>
    <mergeCell ref="E779:E780"/>
    <mergeCell ref="F779:F780"/>
    <mergeCell ref="AB776:AB777"/>
    <mergeCell ref="AC776:AC777"/>
    <mergeCell ref="O776:O777"/>
    <mergeCell ref="P776:P777"/>
    <mergeCell ref="AF776:AF777"/>
    <mergeCell ref="AG776:AG777"/>
    <mergeCell ref="V776:V777"/>
    <mergeCell ref="W776:W777"/>
    <mergeCell ref="X776:X777"/>
    <mergeCell ref="Y776:Y777"/>
    <mergeCell ref="AD776:AD777"/>
    <mergeCell ref="AE776:AE777"/>
    <mergeCell ref="T776:T777"/>
    <mergeCell ref="U776:U777"/>
    <mergeCell ref="I776:I777"/>
    <mergeCell ref="J776:J777"/>
    <mergeCell ref="K776:K777"/>
    <mergeCell ref="L776:L777"/>
    <mergeCell ref="M776:M777"/>
    <mergeCell ref="N776:N777"/>
    <mergeCell ref="A776:A778"/>
    <mergeCell ref="B776:B778"/>
    <mergeCell ref="C776:C778"/>
    <mergeCell ref="D776:D777"/>
    <mergeCell ref="G776:G777"/>
    <mergeCell ref="H776:H777"/>
    <mergeCell ref="AF773:AF774"/>
    <mergeCell ref="AG773:AG774"/>
    <mergeCell ref="AD773:AD774"/>
    <mergeCell ref="AE773:AE774"/>
    <mergeCell ref="E776:E777"/>
    <mergeCell ref="F776:F777"/>
    <mergeCell ref="Z773:Z774"/>
    <mergeCell ref="AA773:AA774"/>
    <mergeCell ref="O773:O774"/>
    <mergeCell ref="P773:P774"/>
    <mergeCell ref="X773:X774"/>
    <mergeCell ref="Y773:Y774"/>
    <mergeCell ref="Q773:Q774"/>
    <mergeCell ref="R773:R774"/>
    <mergeCell ref="AB773:AB774"/>
    <mergeCell ref="AC773:AC774"/>
    <mergeCell ref="T773:T774"/>
    <mergeCell ref="U773:U774"/>
    <mergeCell ref="V773:V774"/>
    <mergeCell ref="W773:W774"/>
    <mergeCell ref="P781:P782"/>
    <mergeCell ref="AF779:AF780"/>
    <mergeCell ref="AG779:AG780"/>
    <mergeCell ref="Z779:Z780"/>
    <mergeCell ref="AA779:AA780"/>
    <mergeCell ref="AB779:AB780"/>
    <mergeCell ref="AC779:AC780"/>
    <mergeCell ref="AD779:AD780"/>
    <mergeCell ref="AE779:AE780"/>
    <mergeCell ref="Q779:Q780"/>
    <mergeCell ref="AA781:AA782"/>
    <mergeCell ref="I781:I782"/>
    <mergeCell ref="J781:J782"/>
    <mergeCell ref="K781:K782"/>
    <mergeCell ref="L781:L782"/>
    <mergeCell ref="Q781:Q782"/>
    <mergeCell ref="R781:R782"/>
    <mergeCell ref="M781:M782"/>
    <mergeCell ref="N781:N782"/>
    <mergeCell ref="O781:O782"/>
    <mergeCell ref="AD783:AD784"/>
    <mergeCell ref="AG783:AG784"/>
    <mergeCell ref="AF783:AF784"/>
    <mergeCell ref="T779:T780"/>
    <mergeCell ref="U779:U780"/>
    <mergeCell ref="Z783:Z784"/>
    <mergeCell ref="AA783:AA784"/>
    <mergeCell ref="Y781:Y782"/>
    <mergeCell ref="T783:T784"/>
    <mergeCell ref="Z781:Z782"/>
    <mergeCell ref="Q783:Q784"/>
    <mergeCell ref="AE783:AE784"/>
    <mergeCell ref="U783:U784"/>
    <mergeCell ref="V783:V784"/>
    <mergeCell ref="W783:W784"/>
    <mergeCell ref="X783:X784"/>
    <mergeCell ref="Y783:Y784"/>
    <mergeCell ref="R783:R784"/>
    <mergeCell ref="AB783:AB784"/>
    <mergeCell ref="AC783:AC784"/>
    <mergeCell ref="H783:H784"/>
    <mergeCell ref="I783:I784"/>
    <mergeCell ref="J783:J784"/>
    <mergeCell ref="K783:K784"/>
    <mergeCell ref="O783:O784"/>
    <mergeCell ref="P783:P784"/>
    <mergeCell ref="L783:L784"/>
    <mergeCell ref="M783:M784"/>
    <mergeCell ref="N783:N784"/>
    <mergeCell ref="AC781:AC782"/>
    <mergeCell ref="S781:S782"/>
    <mergeCell ref="T781:T782"/>
    <mergeCell ref="U781:U782"/>
    <mergeCell ref="V781:V782"/>
    <mergeCell ref="W781:W782"/>
    <mergeCell ref="X781:X782"/>
    <mergeCell ref="AF781:AF782"/>
    <mergeCell ref="AG781:AG782"/>
    <mergeCell ref="A783:A787"/>
    <mergeCell ref="B783:B787"/>
    <mergeCell ref="C783:C787"/>
    <mergeCell ref="D783:D784"/>
    <mergeCell ref="E783:E784"/>
    <mergeCell ref="F783:F784"/>
    <mergeCell ref="G783:G784"/>
    <mergeCell ref="AD781:AD782"/>
    <mergeCell ref="AB781:AB782"/>
    <mergeCell ref="R785:R786"/>
    <mergeCell ref="S785:S786"/>
    <mergeCell ref="M788:M789"/>
    <mergeCell ref="N788:N789"/>
    <mergeCell ref="AA785:AA786"/>
    <mergeCell ref="AB785:AB786"/>
    <mergeCell ref="N785:N786"/>
    <mergeCell ref="O785:O786"/>
    <mergeCell ref="P785:P786"/>
    <mergeCell ref="AG785:AG786"/>
    <mergeCell ref="A788:A791"/>
    <mergeCell ref="B788:B791"/>
    <mergeCell ref="C788:C791"/>
    <mergeCell ref="D788:D789"/>
    <mergeCell ref="E788:E789"/>
    <mergeCell ref="X785:X786"/>
    <mergeCell ref="Y785:Y786"/>
    <mergeCell ref="H788:H789"/>
    <mergeCell ref="Z785:Z786"/>
    <mergeCell ref="AC785:AC786"/>
    <mergeCell ref="AD785:AD786"/>
    <mergeCell ref="AE785:AE786"/>
    <mergeCell ref="T785:T786"/>
    <mergeCell ref="U785:U786"/>
    <mergeCell ref="V785:V786"/>
    <mergeCell ref="W785:W786"/>
    <mergeCell ref="T790:T791"/>
    <mergeCell ref="U790:U791"/>
    <mergeCell ref="E785:E786"/>
    <mergeCell ref="F785:F786"/>
    <mergeCell ref="G785:G786"/>
    <mergeCell ref="H785:H786"/>
    <mergeCell ref="Q785:Q786"/>
    <mergeCell ref="K785:K786"/>
    <mergeCell ref="L785:L786"/>
    <mergeCell ref="M785:M786"/>
    <mergeCell ref="AC790:AC791"/>
    <mergeCell ref="AD790:AD791"/>
    <mergeCell ref="I785:I786"/>
    <mergeCell ref="J785:J786"/>
    <mergeCell ref="AE790:AE791"/>
    <mergeCell ref="AF790:AF791"/>
    <mergeCell ref="P790:P791"/>
    <mergeCell ref="Q790:Q791"/>
    <mergeCell ref="R790:R791"/>
    <mergeCell ref="S790:S791"/>
    <mergeCell ref="X788:X789"/>
    <mergeCell ref="Y788:Y789"/>
    <mergeCell ref="AG790:AG791"/>
    <mergeCell ref="V790:V791"/>
    <mergeCell ref="W790:W791"/>
    <mergeCell ref="X790:X791"/>
    <mergeCell ref="Y790:Y791"/>
    <mergeCell ref="Z790:Z791"/>
    <mergeCell ref="AA790:AA791"/>
    <mergeCell ref="AB790:AB791"/>
    <mergeCell ref="J790:J791"/>
    <mergeCell ref="K790:K791"/>
    <mergeCell ref="L790:L791"/>
    <mergeCell ref="M790:M791"/>
    <mergeCell ref="Z788:Z789"/>
    <mergeCell ref="AA788:AA789"/>
    <mergeCell ref="O788:O789"/>
    <mergeCell ref="P788:P789"/>
    <mergeCell ref="Q788:Q789"/>
    <mergeCell ref="R788:R789"/>
    <mergeCell ref="AG788:AG789"/>
    <mergeCell ref="E790:E791"/>
    <mergeCell ref="F790:F791"/>
    <mergeCell ref="G790:G791"/>
    <mergeCell ref="H790:H791"/>
    <mergeCell ref="I790:I791"/>
    <mergeCell ref="V788:V789"/>
    <mergeCell ref="W788:W789"/>
    <mergeCell ref="N790:N791"/>
    <mergeCell ref="O790:O791"/>
    <mergeCell ref="F788:F789"/>
    <mergeCell ref="G788:G789"/>
    <mergeCell ref="I788:I789"/>
    <mergeCell ref="J788:J789"/>
    <mergeCell ref="AD788:AD789"/>
    <mergeCell ref="AF788:AF789"/>
    <mergeCell ref="AB788:AB789"/>
    <mergeCell ref="AC788:AC789"/>
    <mergeCell ref="T788:T789"/>
    <mergeCell ref="U788:U789"/>
    <mergeCell ref="K788:K789"/>
    <mergeCell ref="L788:L789"/>
    <mergeCell ref="Z795:Z796"/>
    <mergeCell ref="AA795:AA796"/>
    <mergeCell ref="O795:O796"/>
    <mergeCell ref="P795:P796"/>
    <mergeCell ref="Q795:Q796"/>
    <mergeCell ref="R795:R796"/>
    <mergeCell ref="Z792:Z793"/>
    <mergeCell ref="AA792:AA793"/>
    <mergeCell ref="AF795:AF796"/>
    <mergeCell ref="AG795:AG796"/>
    <mergeCell ref="V795:V796"/>
    <mergeCell ref="W795:W796"/>
    <mergeCell ref="X795:X796"/>
    <mergeCell ref="Y795:Y796"/>
    <mergeCell ref="AB795:AB796"/>
    <mergeCell ref="AC795:AC796"/>
    <mergeCell ref="AD795:AD796"/>
    <mergeCell ref="AE795:AE796"/>
    <mergeCell ref="AB792:AB793"/>
    <mergeCell ref="AC792:AC793"/>
    <mergeCell ref="AF792:AF793"/>
    <mergeCell ref="AG792:AG793"/>
    <mergeCell ref="G795:G796"/>
    <mergeCell ref="H795:H796"/>
    <mergeCell ref="T795:T796"/>
    <mergeCell ref="U795:U796"/>
    <mergeCell ref="I795:I796"/>
    <mergeCell ref="J795:J796"/>
    <mergeCell ref="X792:X793"/>
    <mergeCell ref="Y792:Y793"/>
    <mergeCell ref="A795:A797"/>
    <mergeCell ref="B795:B797"/>
    <mergeCell ref="C795:C797"/>
    <mergeCell ref="D795:D796"/>
    <mergeCell ref="K795:K796"/>
    <mergeCell ref="L795:L796"/>
    <mergeCell ref="M795:M796"/>
    <mergeCell ref="N795:N796"/>
    <mergeCell ref="M792:M793"/>
    <mergeCell ref="N792:N793"/>
    <mergeCell ref="E795:E796"/>
    <mergeCell ref="F795:F796"/>
    <mergeCell ref="AD792:AD793"/>
    <mergeCell ref="AE792:AE793"/>
    <mergeCell ref="T792:T793"/>
    <mergeCell ref="U792:U793"/>
    <mergeCell ref="V792:V793"/>
    <mergeCell ref="W792:W793"/>
    <mergeCell ref="A792:A794"/>
    <mergeCell ref="B792:B794"/>
    <mergeCell ref="C792:C794"/>
    <mergeCell ref="D792:D793"/>
    <mergeCell ref="E792:E793"/>
    <mergeCell ref="F792:F793"/>
    <mergeCell ref="Q792:Q793"/>
    <mergeCell ref="R792:R793"/>
    <mergeCell ref="G792:G793"/>
    <mergeCell ref="H792:H793"/>
    <mergeCell ref="I792:I793"/>
    <mergeCell ref="J792:J793"/>
    <mergeCell ref="O792:O793"/>
    <mergeCell ref="P792:P793"/>
    <mergeCell ref="K792:K793"/>
    <mergeCell ref="L792:L793"/>
    <mergeCell ref="AF798:AF799"/>
    <mergeCell ref="AG798:AG799"/>
    <mergeCell ref="Z798:Z799"/>
    <mergeCell ref="AA798:AA799"/>
    <mergeCell ref="AB798:AB799"/>
    <mergeCell ref="AC798:AC799"/>
    <mergeCell ref="AD798:AD799"/>
    <mergeCell ref="AE798:AE799"/>
    <mergeCell ref="K801:K802"/>
    <mergeCell ref="L801:L802"/>
    <mergeCell ref="A801:A804"/>
    <mergeCell ref="B801:B804"/>
    <mergeCell ref="C801:C804"/>
    <mergeCell ref="D801:D802"/>
    <mergeCell ref="E801:E802"/>
    <mergeCell ref="F801:F802"/>
    <mergeCell ref="G801:G802"/>
    <mergeCell ref="H801:H802"/>
    <mergeCell ref="T798:T799"/>
    <mergeCell ref="U798:U799"/>
    <mergeCell ref="M801:M802"/>
    <mergeCell ref="N801:N802"/>
    <mergeCell ref="I801:I802"/>
    <mergeCell ref="J801:J802"/>
    <mergeCell ref="X798:X799"/>
    <mergeCell ref="Y798:Y799"/>
    <mergeCell ref="M798:M799"/>
    <mergeCell ref="N798:N799"/>
    <mergeCell ref="O798:O799"/>
    <mergeCell ref="P798:P799"/>
    <mergeCell ref="Q798:Q799"/>
    <mergeCell ref="R798:R799"/>
    <mergeCell ref="V798:V799"/>
    <mergeCell ref="W798:W799"/>
    <mergeCell ref="E798:E799"/>
    <mergeCell ref="F798:F799"/>
    <mergeCell ref="G798:G799"/>
    <mergeCell ref="H798:H799"/>
    <mergeCell ref="I798:I799"/>
    <mergeCell ref="J798:J799"/>
    <mergeCell ref="A805:A807"/>
    <mergeCell ref="B805:B807"/>
    <mergeCell ref="C805:C807"/>
    <mergeCell ref="D805:D806"/>
    <mergeCell ref="K798:K799"/>
    <mergeCell ref="L798:L799"/>
    <mergeCell ref="A798:A800"/>
    <mergeCell ref="B798:B800"/>
    <mergeCell ref="C798:C800"/>
    <mergeCell ref="D798:D799"/>
    <mergeCell ref="E805:E806"/>
    <mergeCell ref="W803:W804"/>
    <mergeCell ref="X803:X804"/>
    <mergeCell ref="M803:M804"/>
    <mergeCell ref="N803:N804"/>
    <mergeCell ref="O803:O804"/>
    <mergeCell ref="P803:P804"/>
    <mergeCell ref="E803:E804"/>
    <mergeCell ref="F803:F804"/>
    <mergeCell ref="G803:G804"/>
    <mergeCell ref="H803:H804"/>
    <mergeCell ref="I803:I804"/>
    <mergeCell ref="J803:J804"/>
    <mergeCell ref="K803:K804"/>
    <mergeCell ref="Z803:Z804"/>
    <mergeCell ref="AA803:AA804"/>
    <mergeCell ref="Q803:Q804"/>
    <mergeCell ref="R803:R804"/>
    <mergeCell ref="S803:S804"/>
    <mergeCell ref="T803:T804"/>
    <mergeCell ref="AF805:AF806"/>
    <mergeCell ref="Z801:Z802"/>
    <mergeCell ref="AA801:AA802"/>
    <mergeCell ref="O801:O802"/>
    <mergeCell ref="P801:P802"/>
    <mergeCell ref="Q801:Q802"/>
    <mergeCell ref="R801:R802"/>
    <mergeCell ref="AB803:AB804"/>
    <mergeCell ref="U803:U804"/>
    <mergeCell ref="Y803:Y804"/>
    <mergeCell ref="AG801:AG802"/>
    <mergeCell ref="AF803:AF804"/>
    <mergeCell ref="AG803:AG804"/>
    <mergeCell ref="L803:L804"/>
    <mergeCell ref="X801:X802"/>
    <mergeCell ref="Y801:Y802"/>
    <mergeCell ref="V803:V804"/>
    <mergeCell ref="T801:T802"/>
    <mergeCell ref="U801:U802"/>
    <mergeCell ref="V801:V802"/>
    <mergeCell ref="W801:W802"/>
    <mergeCell ref="AG805:AG806"/>
    <mergeCell ref="AB801:AB802"/>
    <mergeCell ref="AC801:AC802"/>
    <mergeCell ref="AD801:AD802"/>
    <mergeCell ref="AE801:AE802"/>
    <mergeCell ref="AF801:AF802"/>
    <mergeCell ref="N805:N806"/>
    <mergeCell ref="O805:O806"/>
    <mergeCell ref="AC805:AC806"/>
    <mergeCell ref="AD805:AD806"/>
    <mergeCell ref="R805:R806"/>
    <mergeCell ref="T805:T806"/>
    <mergeCell ref="U805:U806"/>
    <mergeCell ref="V805:V806"/>
    <mergeCell ref="W805:W806"/>
    <mergeCell ref="X805:X806"/>
    <mergeCell ref="P805:P806"/>
    <mergeCell ref="Q805:Q806"/>
    <mergeCell ref="F805:F806"/>
    <mergeCell ref="G805:G806"/>
    <mergeCell ref="H805:H806"/>
    <mergeCell ref="I805:I806"/>
    <mergeCell ref="J805:J806"/>
    <mergeCell ref="K805:K806"/>
    <mergeCell ref="L805:L806"/>
    <mergeCell ref="M805:M806"/>
    <mergeCell ref="AD811:AD812"/>
    <mergeCell ref="AC803:AC804"/>
    <mergeCell ref="AD803:AD804"/>
    <mergeCell ref="AE803:AE804"/>
    <mergeCell ref="AE805:AE806"/>
    <mergeCell ref="AE811:AE812"/>
    <mergeCell ref="AA808:AA809"/>
    <mergeCell ref="AB808:AB809"/>
    <mergeCell ref="AC808:AC809"/>
    <mergeCell ref="AD808:AD809"/>
    <mergeCell ref="Y805:Y806"/>
    <mergeCell ref="Z805:Z806"/>
    <mergeCell ref="AA805:AA806"/>
    <mergeCell ref="AB805:AB806"/>
    <mergeCell ref="AG808:AG809"/>
    <mergeCell ref="A811:A813"/>
    <mergeCell ref="B811:B813"/>
    <mergeCell ref="C811:C813"/>
    <mergeCell ref="D811:D812"/>
    <mergeCell ref="E811:E812"/>
    <mergeCell ref="P808:P809"/>
    <mergeCell ref="Q808:Q809"/>
    <mergeCell ref="AE808:AE809"/>
    <mergeCell ref="AF808:AF809"/>
    <mergeCell ref="K808:K809"/>
    <mergeCell ref="Y808:Y809"/>
    <mergeCell ref="Z808:Z809"/>
    <mergeCell ref="R808:R809"/>
    <mergeCell ref="T808:T809"/>
    <mergeCell ref="U808:U809"/>
    <mergeCell ref="V808:V809"/>
    <mergeCell ref="W808:W809"/>
    <mergeCell ref="X808:X809"/>
    <mergeCell ref="F808:F809"/>
    <mergeCell ref="G808:G809"/>
    <mergeCell ref="AC811:AC812"/>
    <mergeCell ref="L808:L809"/>
    <mergeCell ref="M808:M809"/>
    <mergeCell ref="N808:N809"/>
    <mergeCell ref="O808:O809"/>
    <mergeCell ref="H808:H809"/>
    <mergeCell ref="I808:I809"/>
    <mergeCell ref="J808:J809"/>
    <mergeCell ref="B836:B840"/>
    <mergeCell ref="C836:C840"/>
    <mergeCell ref="D836:D838"/>
    <mergeCell ref="AF814:AF815"/>
    <mergeCell ref="AG814:AG815"/>
    <mergeCell ref="A808:A810"/>
    <mergeCell ref="B808:B810"/>
    <mergeCell ref="C808:C810"/>
    <mergeCell ref="D808:D809"/>
    <mergeCell ref="E808:E809"/>
    <mergeCell ref="Q814:Q815"/>
    <mergeCell ref="W814:W815"/>
    <mergeCell ref="X814:X815"/>
    <mergeCell ref="Y814:Y815"/>
    <mergeCell ref="Z814:Z815"/>
    <mergeCell ref="E836:E838"/>
    <mergeCell ref="F836:F838"/>
    <mergeCell ref="G836:G838"/>
    <mergeCell ref="H836:H838"/>
    <mergeCell ref="T814:T815"/>
    <mergeCell ref="U814:U815"/>
    <mergeCell ref="V814:V815"/>
    <mergeCell ref="AA814:AA815"/>
    <mergeCell ref="AB814:AB815"/>
    <mergeCell ref="L814:L815"/>
    <mergeCell ref="M814:M815"/>
    <mergeCell ref="N814:N815"/>
    <mergeCell ref="O814:O815"/>
    <mergeCell ref="P814:P815"/>
    <mergeCell ref="A814:A835"/>
    <mergeCell ref="B814:B835"/>
    <mergeCell ref="C814:C835"/>
    <mergeCell ref="D814:D815"/>
    <mergeCell ref="E814:E815"/>
    <mergeCell ref="W811:W812"/>
    <mergeCell ref="F814:F815"/>
    <mergeCell ref="G814:G815"/>
    <mergeCell ref="H814:H815"/>
    <mergeCell ref="I814:I815"/>
    <mergeCell ref="Z811:Z812"/>
    <mergeCell ref="AA811:AA812"/>
    <mergeCell ref="AB811:AB812"/>
    <mergeCell ref="J814:J815"/>
    <mergeCell ref="K814:K815"/>
    <mergeCell ref="AG811:AG812"/>
    <mergeCell ref="X811:X812"/>
    <mergeCell ref="AC814:AC815"/>
    <mergeCell ref="AD814:AD815"/>
    <mergeCell ref="R814:R815"/>
    <mergeCell ref="AF811:AF812"/>
    <mergeCell ref="N811:N812"/>
    <mergeCell ref="O811:O812"/>
    <mergeCell ref="P811:P812"/>
    <mergeCell ref="Q811:Q812"/>
    <mergeCell ref="R811:R812"/>
    <mergeCell ref="T811:T812"/>
    <mergeCell ref="U811:U812"/>
    <mergeCell ref="V811:V812"/>
    <mergeCell ref="Y811:Y812"/>
    <mergeCell ref="J811:J812"/>
    <mergeCell ref="K811:K812"/>
    <mergeCell ref="L811:L812"/>
    <mergeCell ref="M811:M812"/>
    <mergeCell ref="F811:F812"/>
    <mergeCell ref="G811:G812"/>
    <mergeCell ref="H811:H812"/>
    <mergeCell ref="I811:I812"/>
    <mergeCell ref="AF839:AF840"/>
    <mergeCell ref="P839:P840"/>
    <mergeCell ref="Q839:Q840"/>
    <mergeCell ref="R839:R840"/>
    <mergeCell ref="S839:S840"/>
    <mergeCell ref="T839:T840"/>
    <mergeCell ref="U839:U840"/>
    <mergeCell ref="AA839:AA840"/>
    <mergeCell ref="AB839:AB840"/>
    <mergeCell ref="Q841:Q842"/>
    <mergeCell ref="R841:R842"/>
    <mergeCell ref="G841:G842"/>
    <mergeCell ref="H841:H842"/>
    <mergeCell ref="J839:J840"/>
    <mergeCell ref="K839:K840"/>
    <mergeCell ref="K841:K842"/>
    <mergeCell ref="L841:L842"/>
    <mergeCell ref="M841:M842"/>
    <mergeCell ref="N841:N842"/>
    <mergeCell ref="M839:M840"/>
    <mergeCell ref="AG839:AG840"/>
    <mergeCell ref="V839:V840"/>
    <mergeCell ref="W839:W840"/>
    <mergeCell ref="X839:X840"/>
    <mergeCell ref="Y839:Y840"/>
    <mergeCell ref="Z839:Z840"/>
    <mergeCell ref="AC839:AC840"/>
    <mergeCell ref="AD839:AD840"/>
    <mergeCell ref="AE839:AE840"/>
    <mergeCell ref="V836:V838"/>
    <mergeCell ref="W836:W838"/>
    <mergeCell ref="N839:N840"/>
    <mergeCell ref="O839:O840"/>
    <mergeCell ref="T836:T838"/>
    <mergeCell ref="U836:U838"/>
    <mergeCell ref="AB836:AB838"/>
    <mergeCell ref="AC836:AC838"/>
    <mergeCell ref="X836:X838"/>
    <mergeCell ref="Y836:Y838"/>
    <mergeCell ref="Z836:Z838"/>
    <mergeCell ref="AA836:AA838"/>
    <mergeCell ref="AD836:AD838"/>
    <mergeCell ref="AF836:AF838"/>
    <mergeCell ref="AG836:AG838"/>
    <mergeCell ref="E839:E840"/>
    <mergeCell ref="F839:F840"/>
    <mergeCell ref="G839:G840"/>
    <mergeCell ref="H839:H840"/>
    <mergeCell ref="I839:I840"/>
    <mergeCell ref="I836:I838"/>
    <mergeCell ref="J836:J838"/>
    <mergeCell ref="Q836:Q838"/>
    <mergeCell ref="R836:R838"/>
    <mergeCell ref="O836:O838"/>
    <mergeCell ref="P836:P838"/>
    <mergeCell ref="M836:M838"/>
    <mergeCell ref="N836:N838"/>
    <mergeCell ref="A841:A848"/>
    <mergeCell ref="B841:B848"/>
    <mergeCell ref="C841:C848"/>
    <mergeCell ref="D841:D842"/>
    <mergeCell ref="K836:K838"/>
    <mergeCell ref="L836:L838"/>
    <mergeCell ref="L839:L840"/>
    <mergeCell ref="E841:E842"/>
    <mergeCell ref="F841:F842"/>
    <mergeCell ref="A836:A840"/>
    <mergeCell ref="AF851:AF852"/>
    <mergeCell ref="AG851:AG852"/>
    <mergeCell ref="E853:E854"/>
    <mergeCell ref="F853:F854"/>
    <mergeCell ref="E851:E852"/>
    <mergeCell ref="F851:F852"/>
    <mergeCell ref="G851:G852"/>
    <mergeCell ref="H851:H852"/>
    <mergeCell ref="I851:I852"/>
    <mergeCell ref="J851:J852"/>
    <mergeCell ref="AF843:AF844"/>
    <mergeCell ref="AG843:AG844"/>
    <mergeCell ref="Q845:Q846"/>
    <mergeCell ref="R845:R846"/>
    <mergeCell ref="U845:U846"/>
    <mergeCell ref="V845:V846"/>
    <mergeCell ref="S845:S846"/>
    <mergeCell ref="T845:T846"/>
    <mergeCell ref="E845:E846"/>
    <mergeCell ref="F845:F846"/>
    <mergeCell ref="G845:G846"/>
    <mergeCell ref="H845:H846"/>
    <mergeCell ref="AB843:AB844"/>
    <mergeCell ref="AC843:AC844"/>
    <mergeCell ref="N843:N844"/>
    <mergeCell ref="O843:O844"/>
    <mergeCell ref="K845:K846"/>
    <mergeCell ref="L845:L846"/>
    <mergeCell ref="AD843:AD844"/>
    <mergeCell ref="AE843:AE844"/>
    <mergeCell ref="T843:T844"/>
    <mergeCell ref="U843:U844"/>
    <mergeCell ref="V843:V844"/>
    <mergeCell ref="W843:W844"/>
    <mergeCell ref="X843:X844"/>
    <mergeCell ref="Y843:Y844"/>
    <mergeCell ref="Z843:Z844"/>
    <mergeCell ref="AA843:AA844"/>
    <mergeCell ref="R843:R844"/>
    <mergeCell ref="S843:S844"/>
    <mergeCell ref="I845:I846"/>
    <mergeCell ref="J845:J846"/>
    <mergeCell ref="AG841:AG842"/>
    <mergeCell ref="E843:E844"/>
    <mergeCell ref="F843:F844"/>
    <mergeCell ref="G843:G844"/>
    <mergeCell ref="H843:H844"/>
    <mergeCell ref="I843:I844"/>
    <mergeCell ref="J843:J844"/>
    <mergeCell ref="K843:K844"/>
    <mergeCell ref="L843:L844"/>
    <mergeCell ref="M843:M844"/>
    <mergeCell ref="T841:T842"/>
    <mergeCell ref="U841:U842"/>
    <mergeCell ref="V841:V842"/>
    <mergeCell ref="W841:W842"/>
    <mergeCell ref="X841:X842"/>
    <mergeCell ref="Y841:Y842"/>
    <mergeCell ref="AD841:AD842"/>
    <mergeCell ref="AF841:AF842"/>
    <mergeCell ref="I841:I842"/>
    <mergeCell ref="J841:J842"/>
    <mergeCell ref="O841:O842"/>
    <mergeCell ref="P841:P842"/>
    <mergeCell ref="AB841:AB842"/>
    <mergeCell ref="AC841:AC842"/>
    <mergeCell ref="Z841:Z842"/>
    <mergeCell ref="AA841:AA842"/>
    <mergeCell ref="P847:P848"/>
    <mergeCell ref="Q847:Q848"/>
    <mergeCell ref="W845:W846"/>
    <mergeCell ref="X845:X846"/>
    <mergeCell ref="W847:W848"/>
    <mergeCell ref="L847:L848"/>
    <mergeCell ref="M847:M848"/>
    <mergeCell ref="N847:N848"/>
    <mergeCell ref="O847:O848"/>
    <mergeCell ref="J847:J848"/>
    <mergeCell ref="K847:K848"/>
    <mergeCell ref="AD847:AD848"/>
    <mergeCell ref="AE847:AE848"/>
    <mergeCell ref="AE845:AE846"/>
    <mergeCell ref="AF845:AF846"/>
    <mergeCell ref="AA845:AA846"/>
    <mergeCell ref="AB845:AB846"/>
    <mergeCell ref="AC845:AC846"/>
    <mergeCell ref="AD845:AD846"/>
    <mergeCell ref="M845:M846"/>
    <mergeCell ref="N845:N846"/>
    <mergeCell ref="O845:O846"/>
    <mergeCell ref="P845:P846"/>
    <mergeCell ref="AG845:AG846"/>
    <mergeCell ref="E847:E848"/>
    <mergeCell ref="F847:F848"/>
    <mergeCell ref="G847:G848"/>
    <mergeCell ref="H847:H848"/>
    <mergeCell ref="I847:I848"/>
    <mergeCell ref="AG849:AG850"/>
    <mergeCell ref="AF849:AF850"/>
    <mergeCell ref="AB851:AB852"/>
    <mergeCell ref="AD851:AD852"/>
    <mergeCell ref="AC851:AC852"/>
    <mergeCell ref="P843:P844"/>
    <mergeCell ref="Q843:Q844"/>
    <mergeCell ref="T847:T848"/>
    <mergeCell ref="Y845:Y846"/>
    <mergeCell ref="Z845:Z846"/>
    <mergeCell ref="AB849:AB850"/>
    <mergeCell ref="AC849:AC850"/>
    <mergeCell ref="AD849:AD850"/>
    <mergeCell ref="Y849:Y850"/>
    <mergeCell ref="R851:R852"/>
    <mergeCell ref="S851:S852"/>
    <mergeCell ref="M851:M852"/>
    <mergeCell ref="Z849:Z850"/>
    <mergeCell ref="AA849:AA850"/>
    <mergeCell ref="T849:T850"/>
    <mergeCell ref="N849:N850"/>
    <mergeCell ref="O849:O850"/>
    <mergeCell ref="AA851:AA852"/>
    <mergeCell ref="Q851:Q852"/>
    <mergeCell ref="P849:P850"/>
    <mergeCell ref="AF847:AF848"/>
    <mergeCell ref="AG847:AG848"/>
    <mergeCell ref="Q849:Q850"/>
    <mergeCell ref="R849:R850"/>
    <mergeCell ref="U849:U850"/>
    <mergeCell ref="V849:V850"/>
    <mergeCell ref="W849:W850"/>
    <mergeCell ref="X849:X850"/>
    <mergeCell ref="U847:U848"/>
    <mergeCell ref="V847:V848"/>
    <mergeCell ref="AC847:AC848"/>
    <mergeCell ref="E849:E850"/>
    <mergeCell ref="F849:F850"/>
    <mergeCell ref="X847:X848"/>
    <mergeCell ref="Y847:Y848"/>
    <mergeCell ref="R847:R848"/>
    <mergeCell ref="S847:S848"/>
    <mergeCell ref="G849:G850"/>
    <mergeCell ref="H849:H850"/>
    <mergeCell ref="I849:I850"/>
    <mergeCell ref="A855:A859"/>
    <mergeCell ref="B855:B859"/>
    <mergeCell ref="C855:C859"/>
    <mergeCell ref="D855:D857"/>
    <mergeCell ref="AA847:AA848"/>
    <mergeCell ref="AB847:AB848"/>
    <mergeCell ref="Z847:Z848"/>
    <mergeCell ref="J849:J850"/>
    <mergeCell ref="K849:K850"/>
    <mergeCell ref="L849:L850"/>
    <mergeCell ref="R853:R854"/>
    <mergeCell ref="S853:S854"/>
    <mergeCell ref="E855:E857"/>
    <mergeCell ref="F855:F857"/>
    <mergeCell ref="G855:G857"/>
    <mergeCell ref="Y853:Y854"/>
    <mergeCell ref="G853:G854"/>
    <mergeCell ref="H853:H854"/>
    <mergeCell ref="I853:I854"/>
    <mergeCell ref="J853:J854"/>
    <mergeCell ref="Y851:Y852"/>
    <mergeCell ref="Z851:Z852"/>
    <mergeCell ref="Z853:Z854"/>
    <mergeCell ref="O853:O854"/>
    <mergeCell ref="P853:P854"/>
    <mergeCell ref="U853:U854"/>
    <mergeCell ref="V853:V854"/>
    <mergeCell ref="W853:W854"/>
    <mergeCell ref="X853:X854"/>
    <mergeCell ref="Q853:Q854"/>
    <mergeCell ref="O851:O852"/>
    <mergeCell ref="P851:P852"/>
    <mergeCell ref="M853:M854"/>
    <mergeCell ref="N853:N854"/>
    <mergeCell ref="AE851:AE852"/>
    <mergeCell ref="T851:T852"/>
    <mergeCell ref="U851:U852"/>
    <mergeCell ref="V851:V852"/>
    <mergeCell ref="W851:W852"/>
    <mergeCell ref="X851:X852"/>
    <mergeCell ref="A849:A854"/>
    <mergeCell ref="B849:B854"/>
    <mergeCell ref="C849:C854"/>
    <mergeCell ref="D849:D850"/>
    <mergeCell ref="K851:K852"/>
    <mergeCell ref="N851:N852"/>
    <mergeCell ref="K853:K854"/>
    <mergeCell ref="L853:L854"/>
    <mergeCell ref="M849:M850"/>
    <mergeCell ref="L851:L852"/>
    <mergeCell ref="AD855:AD857"/>
    <mergeCell ref="AF855:AF857"/>
    <mergeCell ref="R855:R857"/>
    <mergeCell ref="T855:T857"/>
    <mergeCell ref="W855:W857"/>
    <mergeCell ref="X855:X857"/>
    <mergeCell ref="AB855:AB857"/>
    <mergeCell ref="AC855:AC857"/>
    <mergeCell ref="AG855:AG857"/>
    <mergeCell ref="E858:E859"/>
    <mergeCell ref="F858:F859"/>
    <mergeCell ref="G858:G859"/>
    <mergeCell ref="H858:H859"/>
    <mergeCell ref="I858:I859"/>
    <mergeCell ref="U855:U857"/>
    <mergeCell ref="V855:V857"/>
    <mergeCell ref="H855:H857"/>
    <mergeCell ref="I855:I857"/>
    <mergeCell ref="J855:J857"/>
    <mergeCell ref="K855:K857"/>
    <mergeCell ref="Y855:Y857"/>
    <mergeCell ref="Z855:Z857"/>
    <mergeCell ref="N855:N857"/>
    <mergeCell ref="O855:O857"/>
    <mergeCell ref="P855:P857"/>
    <mergeCell ref="Q855:Q857"/>
    <mergeCell ref="L855:L857"/>
    <mergeCell ref="M855:M857"/>
    <mergeCell ref="AE853:AE854"/>
    <mergeCell ref="AF853:AF854"/>
    <mergeCell ref="AA853:AA854"/>
    <mergeCell ref="AB853:AB854"/>
    <mergeCell ref="AC853:AC854"/>
    <mergeCell ref="AD853:AD854"/>
    <mergeCell ref="T853:T854"/>
    <mergeCell ref="AG853:AG854"/>
    <mergeCell ref="AB858:AB859"/>
    <mergeCell ref="AC858:AC859"/>
    <mergeCell ref="AD858:AD859"/>
    <mergeCell ref="AE858:AE859"/>
    <mergeCell ref="AF858:AF859"/>
    <mergeCell ref="AG858:AG859"/>
    <mergeCell ref="V858:V859"/>
    <mergeCell ref="W858:W859"/>
    <mergeCell ref="K860:K862"/>
    <mergeCell ref="L860:L862"/>
    <mergeCell ref="G860:G862"/>
    <mergeCell ref="H860:H862"/>
    <mergeCell ref="I860:I862"/>
    <mergeCell ref="J860:J862"/>
    <mergeCell ref="X858:X859"/>
    <mergeCell ref="Y858:Y859"/>
    <mergeCell ref="Z858:Z859"/>
    <mergeCell ref="AA858:AA859"/>
    <mergeCell ref="M860:M862"/>
    <mergeCell ref="N860:N862"/>
    <mergeCell ref="R858:R859"/>
    <mergeCell ref="S858:S859"/>
    <mergeCell ref="T858:T859"/>
    <mergeCell ref="U858:U859"/>
    <mergeCell ref="J858:J859"/>
    <mergeCell ref="K858:K859"/>
    <mergeCell ref="L858:L859"/>
    <mergeCell ref="M858:M859"/>
    <mergeCell ref="N858:N859"/>
    <mergeCell ref="O858:O859"/>
    <mergeCell ref="P858:P859"/>
    <mergeCell ref="Q858:Q859"/>
    <mergeCell ref="AE863:AE864"/>
    <mergeCell ref="AF863:AF864"/>
    <mergeCell ref="AG863:AG864"/>
    <mergeCell ref="E863:E864"/>
    <mergeCell ref="F863:F864"/>
    <mergeCell ref="AB863:AB864"/>
    <mergeCell ref="Q863:Q864"/>
    <mergeCell ref="R863:R864"/>
    <mergeCell ref="G863:G864"/>
    <mergeCell ref="H863:H864"/>
    <mergeCell ref="AF867:AF869"/>
    <mergeCell ref="AG867:AG869"/>
    <mergeCell ref="T867:T869"/>
    <mergeCell ref="U867:U869"/>
    <mergeCell ref="V867:V869"/>
    <mergeCell ref="W867:W869"/>
    <mergeCell ref="G867:G869"/>
    <mergeCell ref="H867:H869"/>
    <mergeCell ref="I867:I869"/>
    <mergeCell ref="J867:J869"/>
    <mergeCell ref="AF865:AF866"/>
    <mergeCell ref="AG865:AG866"/>
    <mergeCell ref="Q867:Q869"/>
    <mergeCell ref="R867:R869"/>
    <mergeCell ref="Z867:Z869"/>
    <mergeCell ref="AB867:AB869"/>
    <mergeCell ref="Z860:Z862"/>
    <mergeCell ref="AB860:AB862"/>
    <mergeCell ref="O860:O862"/>
    <mergeCell ref="P860:P862"/>
    <mergeCell ref="Q860:Q862"/>
    <mergeCell ref="R860:R862"/>
    <mergeCell ref="AD865:AD866"/>
    <mergeCell ref="AE865:AE866"/>
    <mergeCell ref="AC863:AC864"/>
    <mergeCell ref="AD863:AD864"/>
    <mergeCell ref="K867:K869"/>
    <mergeCell ref="L867:L869"/>
    <mergeCell ref="P863:P864"/>
    <mergeCell ref="AA863:AA864"/>
    <mergeCell ref="AC867:AC869"/>
    <mergeCell ref="AD867:AD869"/>
    <mergeCell ref="AF860:AF862"/>
    <mergeCell ref="AG860:AG862"/>
    <mergeCell ref="T860:T862"/>
    <mergeCell ref="U860:U862"/>
    <mergeCell ref="V860:V862"/>
    <mergeCell ref="W860:W862"/>
    <mergeCell ref="X860:X862"/>
    <mergeCell ref="Y860:Y862"/>
    <mergeCell ref="AC860:AC862"/>
    <mergeCell ref="AD860:AD862"/>
    <mergeCell ref="E865:E866"/>
    <mergeCell ref="F865:F866"/>
    <mergeCell ref="G865:G866"/>
    <mergeCell ref="H865:H866"/>
    <mergeCell ref="A860:A866"/>
    <mergeCell ref="B860:B866"/>
    <mergeCell ref="C860:C866"/>
    <mergeCell ref="D860:D862"/>
    <mergeCell ref="E860:E862"/>
    <mergeCell ref="F860:F862"/>
    <mergeCell ref="Z863:Z864"/>
    <mergeCell ref="S863:S864"/>
    <mergeCell ref="T863:T864"/>
    <mergeCell ref="U863:U864"/>
    <mergeCell ref="V863:V864"/>
    <mergeCell ref="W863:W864"/>
    <mergeCell ref="X863:X864"/>
    <mergeCell ref="I863:I864"/>
    <mergeCell ref="J863:J864"/>
    <mergeCell ref="K863:K864"/>
    <mergeCell ref="L863:L864"/>
    <mergeCell ref="I865:I866"/>
    <mergeCell ref="Y863:Y864"/>
    <mergeCell ref="O863:O864"/>
    <mergeCell ref="X865:X866"/>
    <mergeCell ref="Y865:Y866"/>
    <mergeCell ref="M863:M864"/>
    <mergeCell ref="N863:N864"/>
    <mergeCell ref="X867:X869"/>
    <mergeCell ref="Y867:Y869"/>
    <mergeCell ref="M867:M869"/>
    <mergeCell ref="N867:N869"/>
    <mergeCell ref="O867:O869"/>
    <mergeCell ref="P867:P869"/>
    <mergeCell ref="V865:V866"/>
    <mergeCell ref="W865:W866"/>
    <mergeCell ref="AG870:AG871"/>
    <mergeCell ref="A872:A882"/>
    <mergeCell ref="B872:B882"/>
    <mergeCell ref="C872:C882"/>
    <mergeCell ref="D872:D874"/>
    <mergeCell ref="E872:E874"/>
    <mergeCell ref="W870:W871"/>
    <mergeCell ref="X870:X871"/>
    <mergeCell ref="M870:M871"/>
    <mergeCell ref="N870:N871"/>
    <mergeCell ref="S870:S871"/>
    <mergeCell ref="T870:T871"/>
    <mergeCell ref="AE870:AE871"/>
    <mergeCell ref="AF870:AF871"/>
    <mergeCell ref="U870:U871"/>
    <mergeCell ref="V870:V871"/>
    <mergeCell ref="O870:O871"/>
    <mergeCell ref="P870:P871"/>
    <mergeCell ref="Q870:Q871"/>
    <mergeCell ref="R870:R871"/>
    <mergeCell ref="I870:I871"/>
    <mergeCell ref="J870:J871"/>
    <mergeCell ref="K870:K871"/>
    <mergeCell ref="L870:L871"/>
    <mergeCell ref="E870:E871"/>
    <mergeCell ref="F870:F871"/>
    <mergeCell ref="G870:G871"/>
    <mergeCell ref="H870:H871"/>
    <mergeCell ref="AG872:AG874"/>
    <mergeCell ref="E875:E876"/>
    <mergeCell ref="F875:F876"/>
    <mergeCell ref="G875:G876"/>
    <mergeCell ref="H875:H876"/>
    <mergeCell ref="I875:I876"/>
    <mergeCell ref="L872:L874"/>
    <mergeCell ref="M872:M874"/>
    <mergeCell ref="N872:N874"/>
    <mergeCell ref="O872:O874"/>
    <mergeCell ref="E867:E869"/>
    <mergeCell ref="F867:F869"/>
    <mergeCell ref="E877:E878"/>
    <mergeCell ref="F877:F878"/>
    <mergeCell ref="F872:F874"/>
    <mergeCell ref="A867:A871"/>
    <mergeCell ref="B867:B871"/>
    <mergeCell ref="C867:C871"/>
    <mergeCell ref="D867:D869"/>
    <mergeCell ref="L865:L866"/>
    <mergeCell ref="M865:M866"/>
    <mergeCell ref="N865:N866"/>
    <mergeCell ref="O865:O866"/>
    <mergeCell ref="P865:P866"/>
    <mergeCell ref="Q865:Q866"/>
    <mergeCell ref="AB865:AB866"/>
    <mergeCell ref="AC865:AC866"/>
    <mergeCell ref="R865:R866"/>
    <mergeCell ref="S865:S866"/>
    <mergeCell ref="T865:T866"/>
    <mergeCell ref="U865:U866"/>
    <mergeCell ref="Z865:Z866"/>
    <mergeCell ref="AA865:AA866"/>
    <mergeCell ref="J865:J866"/>
    <mergeCell ref="K865:K866"/>
    <mergeCell ref="AB872:AB874"/>
    <mergeCell ref="AC872:AC874"/>
    <mergeCell ref="AC870:AC871"/>
    <mergeCell ref="AD870:AD871"/>
    <mergeCell ref="Y870:Y871"/>
    <mergeCell ref="Z870:Z871"/>
    <mergeCell ref="AA870:AA871"/>
    <mergeCell ref="AB870:AB871"/>
    <mergeCell ref="X872:X874"/>
    <mergeCell ref="Y872:Y874"/>
    <mergeCell ref="Z872:Z874"/>
    <mergeCell ref="R875:R876"/>
    <mergeCell ref="S875:S876"/>
    <mergeCell ref="AB875:AB876"/>
    <mergeCell ref="P872:P874"/>
    <mergeCell ref="Q872:Q874"/>
    <mergeCell ref="K872:K874"/>
    <mergeCell ref="AD872:AD874"/>
    <mergeCell ref="AF872:AF874"/>
    <mergeCell ref="R872:R874"/>
    <mergeCell ref="T872:T874"/>
    <mergeCell ref="U872:U874"/>
    <mergeCell ref="V872:V874"/>
    <mergeCell ref="W872:W874"/>
    <mergeCell ref="G872:G874"/>
    <mergeCell ref="H872:H874"/>
    <mergeCell ref="I872:I874"/>
    <mergeCell ref="J872:J874"/>
    <mergeCell ref="J879:J880"/>
    <mergeCell ref="K879:K880"/>
    <mergeCell ref="J875:J876"/>
    <mergeCell ref="K875:K876"/>
    <mergeCell ref="AA877:AA878"/>
    <mergeCell ref="AB877:AB878"/>
    <mergeCell ref="AE877:AE878"/>
    <mergeCell ref="AF877:AF878"/>
    <mergeCell ref="AC877:AC878"/>
    <mergeCell ref="AD877:AD878"/>
    <mergeCell ref="Z877:Z878"/>
    <mergeCell ref="S877:S878"/>
    <mergeCell ref="T877:T878"/>
    <mergeCell ref="U877:U878"/>
    <mergeCell ref="V877:V878"/>
    <mergeCell ref="F879:F880"/>
    <mergeCell ref="G879:G880"/>
    <mergeCell ref="H879:H880"/>
    <mergeCell ref="I879:I880"/>
    <mergeCell ref="G877:G878"/>
    <mergeCell ref="H877:H878"/>
    <mergeCell ref="Q877:Q878"/>
    <mergeCell ref="R877:R878"/>
    <mergeCell ref="I877:I878"/>
    <mergeCell ref="J877:J878"/>
    <mergeCell ref="K877:K878"/>
    <mergeCell ref="L877:L878"/>
    <mergeCell ref="AF875:AF876"/>
    <mergeCell ref="M877:M878"/>
    <mergeCell ref="N877:N878"/>
    <mergeCell ref="O877:O878"/>
    <mergeCell ref="P877:P878"/>
    <mergeCell ref="Z875:Z876"/>
    <mergeCell ref="AA875:AA876"/>
    <mergeCell ref="W877:W878"/>
    <mergeCell ref="X877:X878"/>
    <mergeCell ref="Y877:Y878"/>
    <mergeCell ref="AD875:AD876"/>
    <mergeCell ref="AE875:AE876"/>
    <mergeCell ref="T875:T876"/>
    <mergeCell ref="U875:U876"/>
    <mergeCell ref="V875:V876"/>
    <mergeCell ref="W875:W876"/>
    <mergeCell ref="X875:X876"/>
    <mergeCell ref="Y875:Y876"/>
    <mergeCell ref="AC875:AC876"/>
    <mergeCell ref="N875:N876"/>
    <mergeCell ref="O875:O876"/>
    <mergeCell ref="P875:P876"/>
    <mergeCell ref="Q875:Q876"/>
    <mergeCell ref="O879:O880"/>
    <mergeCell ref="K881:K882"/>
    <mergeCell ref="L881:L882"/>
    <mergeCell ref="L875:L876"/>
    <mergeCell ref="M875:M876"/>
    <mergeCell ref="A883:A885"/>
    <mergeCell ref="B883:B885"/>
    <mergeCell ref="C883:C885"/>
    <mergeCell ref="D883:D884"/>
    <mergeCell ref="E883:E884"/>
    <mergeCell ref="W881:W882"/>
    <mergeCell ref="U881:U882"/>
    <mergeCell ref="V881:V882"/>
    <mergeCell ref="Q881:Q882"/>
    <mergeCell ref="R881:R882"/>
    <mergeCell ref="S881:S882"/>
    <mergeCell ref="T881:T882"/>
    <mergeCell ref="AF881:AF882"/>
    <mergeCell ref="AG881:AG882"/>
    <mergeCell ref="X881:X882"/>
    <mergeCell ref="AC881:AC882"/>
    <mergeCell ref="E881:E882"/>
    <mergeCell ref="F881:F882"/>
    <mergeCell ref="G881:G882"/>
    <mergeCell ref="H881:H882"/>
    <mergeCell ref="AF879:AF880"/>
    <mergeCell ref="AG879:AG880"/>
    <mergeCell ref="M881:M882"/>
    <mergeCell ref="N881:N882"/>
    <mergeCell ref="O881:O882"/>
    <mergeCell ref="P881:P882"/>
    <mergeCell ref="Y881:Y882"/>
    <mergeCell ref="Z881:Z882"/>
    <mergeCell ref="Z879:Z880"/>
    <mergeCell ref="AA879:AA880"/>
    <mergeCell ref="AD879:AD880"/>
    <mergeCell ref="AE879:AE880"/>
    <mergeCell ref="AE881:AE882"/>
    <mergeCell ref="AD881:AD882"/>
    <mergeCell ref="AB879:AB880"/>
    <mergeCell ref="AC879:AC880"/>
    <mergeCell ref="I881:I882"/>
    <mergeCell ref="J881:J882"/>
    <mergeCell ref="X879:X880"/>
    <mergeCell ref="Y879:Y880"/>
    <mergeCell ref="AA881:AA882"/>
    <mergeCell ref="AB881:AB882"/>
    <mergeCell ref="M879:M880"/>
    <mergeCell ref="N879:N880"/>
    <mergeCell ref="AG877:AG878"/>
    <mergeCell ref="E879:E880"/>
    <mergeCell ref="AG875:AG876"/>
    <mergeCell ref="R879:R880"/>
    <mergeCell ref="S879:S880"/>
    <mergeCell ref="T879:T880"/>
    <mergeCell ref="U879:U880"/>
    <mergeCell ref="V879:V880"/>
    <mergeCell ref="W879:W880"/>
    <mergeCell ref="L879:L880"/>
    <mergeCell ref="Y883:Y884"/>
    <mergeCell ref="Z883:Z884"/>
    <mergeCell ref="P879:P880"/>
    <mergeCell ref="Q879:Q880"/>
    <mergeCell ref="P883:P884"/>
    <mergeCell ref="Q883:Q884"/>
    <mergeCell ref="U883:U884"/>
    <mergeCell ref="V883:V884"/>
    <mergeCell ref="R883:R884"/>
    <mergeCell ref="T883:T884"/>
    <mergeCell ref="AE883:AE884"/>
    <mergeCell ref="AF883:AF884"/>
    <mergeCell ref="AA883:AA884"/>
    <mergeCell ref="AB883:AB884"/>
    <mergeCell ref="AC883:AC884"/>
    <mergeCell ref="AD883:AD884"/>
    <mergeCell ref="AG883:AG884"/>
    <mergeCell ref="A886:A888"/>
    <mergeCell ref="B886:B888"/>
    <mergeCell ref="C886:C888"/>
    <mergeCell ref="D886:D887"/>
    <mergeCell ref="E886:E887"/>
    <mergeCell ref="F886:F887"/>
    <mergeCell ref="G886:G887"/>
    <mergeCell ref="F883:F884"/>
    <mergeCell ref="G883:G884"/>
    <mergeCell ref="H883:H884"/>
    <mergeCell ref="I883:I884"/>
    <mergeCell ref="W883:W884"/>
    <mergeCell ref="X883:X884"/>
    <mergeCell ref="L883:L884"/>
    <mergeCell ref="M883:M884"/>
    <mergeCell ref="N883:N884"/>
    <mergeCell ref="O883:O884"/>
    <mergeCell ref="J883:J884"/>
    <mergeCell ref="K883:K884"/>
    <mergeCell ref="AG886:AG887"/>
    <mergeCell ref="A889:A891"/>
    <mergeCell ref="B889:B891"/>
    <mergeCell ref="C889:C891"/>
    <mergeCell ref="D889:D890"/>
    <mergeCell ref="E889:E890"/>
    <mergeCell ref="F889:F890"/>
    <mergeCell ref="G889:G890"/>
    <mergeCell ref="H889:H890"/>
    <mergeCell ref="I889:I890"/>
    <mergeCell ref="U886:U887"/>
    <mergeCell ref="V886:V887"/>
    <mergeCell ref="W886:W887"/>
    <mergeCell ref="X886:X887"/>
    <mergeCell ref="Y886:Y887"/>
    <mergeCell ref="Z886:Z887"/>
    <mergeCell ref="AE886:AE887"/>
    <mergeCell ref="AF886:AF887"/>
    <mergeCell ref="R886:R887"/>
    <mergeCell ref="T886:T887"/>
    <mergeCell ref="P886:P887"/>
    <mergeCell ref="Q886:Q887"/>
    <mergeCell ref="AC886:AC887"/>
    <mergeCell ref="AD886:AD887"/>
    <mergeCell ref="AA886:AA887"/>
    <mergeCell ref="AB886:AB887"/>
    <mergeCell ref="L886:L887"/>
    <mergeCell ref="M886:M887"/>
    <mergeCell ref="N886:N887"/>
    <mergeCell ref="O886:O887"/>
    <mergeCell ref="H886:H887"/>
    <mergeCell ref="I886:I887"/>
    <mergeCell ref="J886:J887"/>
    <mergeCell ref="K886:K887"/>
    <mergeCell ref="L889:L890"/>
    <mergeCell ref="M889:M890"/>
    <mergeCell ref="N889:N890"/>
    <mergeCell ref="O889:O890"/>
    <mergeCell ref="B901:B914"/>
    <mergeCell ref="C901:C914"/>
    <mergeCell ref="D901:D902"/>
    <mergeCell ref="E901:E902"/>
    <mergeCell ref="AC889:AC890"/>
    <mergeCell ref="AD889:AD890"/>
    <mergeCell ref="AE889:AE890"/>
    <mergeCell ref="AF889:AF890"/>
    <mergeCell ref="J901:J902"/>
    <mergeCell ref="K901:K902"/>
    <mergeCell ref="Y889:Y890"/>
    <mergeCell ref="Z889:Z890"/>
    <mergeCell ref="U889:U890"/>
    <mergeCell ref="V889:V890"/>
    <mergeCell ref="AG889:AG890"/>
    <mergeCell ref="A892:A894"/>
    <mergeCell ref="B892:B894"/>
    <mergeCell ref="C892:C894"/>
    <mergeCell ref="D892:D893"/>
    <mergeCell ref="E892:E893"/>
    <mergeCell ref="W889:W890"/>
    <mergeCell ref="X889:X890"/>
    <mergeCell ref="J889:J890"/>
    <mergeCell ref="K889:K890"/>
    <mergeCell ref="AA889:AA890"/>
    <mergeCell ref="AB889:AB890"/>
    <mergeCell ref="P889:P890"/>
    <mergeCell ref="Q889:Q890"/>
    <mergeCell ref="R889:R890"/>
    <mergeCell ref="T889:T890"/>
    <mergeCell ref="AE892:AE893"/>
    <mergeCell ref="AF892:AF893"/>
    <mergeCell ref="Y892:Y893"/>
    <mergeCell ref="Z892:Z893"/>
    <mergeCell ref="AA892:AA893"/>
    <mergeCell ref="AB892:AB893"/>
    <mergeCell ref="AC892:AC893"/>
    <mergeCell ref="AD892:AD893"/>
    <mergeCell ref="AE915:AE916"/>
    <mergeCell ref="AF915:AF916"/>
    <mergeCell ref="M922:M923"/>
    <mergeCell ref="AG915:AG916"/>
    <mergeCell ref="P915:P916"/>
    <mergeCell ref="Q915:Q916"/>
    <mergeCell ref="W915:W916"/>
    <mergeCell ref="X915:X916"/>
    <mergeCell ref="Y915:Y916"/>
    <mergeCell ref="Z915:Z916"/>
    <mergeCell ref="AG892:AG893"/>
    <mergeCell ref="A895:A900"/>
    <mergeCell ref="B895:B900"/>
    <mergeCell ref="C895:C900"/>
    <mergeCell ref="D895:D896"/>
    <mergeCell ref="E895:E896"/>
    <mergeCell ref="X892:X893"/>
    <mergeCell ref="L892:L893"/>
    <mergeCell ref="M892:M893"/>
    <mergeCell ref="N892:N893"/>
    <mergeCell ref="H892:H893"/>
    <mergeCell ref="I892:I893"/>
    <mergeCell ref="O892:O893"/>
    <mergeCell ref="P892:P893"/>
    <mergeCell ref="Q892:Q893"/>
    <mergeCell ref="R892:R893"/>
    <mergeCell ref="V892:V893"/>
    <mergeCell ref="F895:F896"/>
    <mergeCell ref="G895:G896"/>
    <mergeCell ref="H895:H896"/>
    <mergeCell ref="M895:M896"/>
    <mergeCell ref="N895:N896"/>
    <mergeCell ref="T892:T893"/>
    <mergeCell ref="U892:U893"/>
    <mergeCell ref="F892:F893"/>
    <mergeCell ref="G892:G893"/>
    <mergeCell ref="J892:J893"/>
    <mergeCell ref="K892:K893"/>
    <mergeCell ref="AC901:AC902"/>
    <mergeCell ref="L901:L902"/>
    <mergeCell ref="M901:M902"/>
    <mergeCell ref="N901:N902"/>
    <mergeCell ref="O901:O902"/>
    <mergeCell ref="K895:K896"/>
    <mergeCell ref="L895:L896"/>
    <mergeCell ref="W892:W893"/>
    <mergeCell ref="AD901:AD902"/>
    <mergeCell ref="P901:P902"/>
    <mergeCell ref="Q901:Q902"/>
    <mergeCell ref="R901:R902"/>
    <mergeCell ref="T901:T902"/>
    <mergeCell ref="U901:U902"/>
    <mergeCell ref="AB901:AB902"/>
    <mergeCell ref="V901:V902"/>
    <mergeCell ref="P922:P923"/>
    <mergeCell ref="AC895:AC896"/>
    <mergeCell ref="AE901:AE902"/>
    <mergeCell ref="AF901:AF902"/>
    <mergeCell ref="AG901:AG902"/>
    <mergeCell ref="W901:W902"/>
    <mergeCell ref="X901:X902"/>
    <mergeCell ref="Y901:Y902"/>
    <mergeCell ref="Z901:Z902"/>
    <mergeCell ref="AA901:AA902"/>
    <mergeCell ref="Q895:Q896"/>
    <mergeCell ref="I895:I896"/>
    <mergeCell ref="J895:J896"/>
    <mergeCell ref="AG895:AG896"/>
    <mergeCell ref="A901:A914"/>
    <mergeCell ref="I922:I923"/>
    <mergeCell ref="J922:J923"/>
    <mergeCell ref="K922:K923"/>
    <mergeCell ref="L922:L923"/>
    <mergeCell ref="N922:N923"/>
    <mergeCell ref="F901:F902"/>
    <mergeCell ref="G901:G902"/>
    <mergeCell ref="H901:H902"/>
    <mergeCell ref="I901:I902"/>
    <mergeCell ref="O895:O896"/>
    <mergeCell ref="P895:P896"/>
    <mergeCell ref="AF895:AF896"/>
    <mergeCell ref="U895:U896"/>
    <mergeCell ref="V895:V896"/>
    <mergeCell ref="W895:W896"/>
    <mergeCell ref="X895:X896"/>
    <mergeCell ref="Y895:Y896"/>
    <mergeCell ref="AD895:AD896"/>
    <mergeCell ref="R895:R896"/>
    <mergeCell ref="T895:T896"/>
    <mergeCell ref="Z895:Z896"/>
    <mergeCell ref="AA895:AA896"/>
    <mergeCell ref="AB895:AB896"/>
    <mergeCell ref="AE895:AE896"/>
    <mergeCell ref="L915:L916"/>
    <mergeCell ref="M915:M916"/>
    <mergeCell ref="N915:N916"/>
    <mergeCell ref="O915:O916"/>
    <mergeCell ref="AA915:AA916"/>
    <mergeCell ref="AB915:AB916"/>
    <mergeCell ref="AC915:AC916"/>
    <mergeCell ref="AD915:AD916"/>
    <mergeCell ref="R915:R916"/>
    <mergeCell ref="T915:T916"/>
    <mergeCell ref="U915:U916"/>
    <mergeCell ref="V915:V916"/>
    <mergeCell ref="K915:K916"/>
    <mergeCell ref="E922:E923"/>
    <mergeCell ref="F922:F923"/>
    <mergeCell ref="G922:G923"/>
    <mergeCell ref="F915:F916"/>
    <mergeCell ref="G915:G916"/>
    <mergeCell ref="H915:H916"/>
    <mergeCell ref="I915:I916"/>
    <mergeCell ref="A958:D958"/>
    <mergeCell ref="A922:A929"/>
    <mergeCell ref="B922:B929"/>
    <mergeCell ref="C922:C929"/>
    <mergeCell ref="D922:D923"/>
    <mergeCell ref="J915:J916"/>
    <mergeCell ref="D969:D970"/>
    <mergeCell ref="AC930:AC931"/>
    <mergeCell ref="AD930:AD931"/>
    <mergeCell ref="A915:A921"/>
    <mergeCell ref="B915:B921"/>
    <mergeCell ref="C915:C921"/>
    <mergeCell ref="D915:D916"/>
    <mergeCell ref="E915:E916"/>
    <mergeCell ref="P930:P931"/>
    <mergeCell ref="Q930:Q931"/>
    <mergeCell ref="AE930:AE931"/>
    <mergeCell ref="AF930:AF931"/>
    <mergeCell ref="AG930:AG931"/>
    <mergeCell ref="A957:D957"/>
    <mergeCell ref="W930:W931"/>
    <mergeCell ref="X930:X931"/>
    <mergeCell ref="Y930:Y931"/>
    <mergeCell ref="Z930:Z931"/>
    <mergeCell ref="AA930:AA931"/>
    <mergeCell ref="AB930:AB931"/>
    <mergeCell ref="AG922:AG923"/>
    <mergeCell ref="A930:A956"/>
    <mergeCell ref="B930:B956"/>
    <mergeCell ref="C930:C956"/>
    <mergeCell ref="D930:D931"/>
    <mergeCell ref="E930:E931"/>
    <mergeCell ref="F930:F931"/>
    <mergeCell ref="G930:G931"/>
    <mergeCell ref="L930:L931"/>
    <mergeCell ref="M930:M931"/>
    <mergeCell ref="Q922:Q923"/>
    <mergeCell ref="J930:J931"/>
    <mergeCell ref="K930:K931"/>
    <mergeCell ref="V922:V923"/>
    <mergeCell ref="W922:W923"/>
    <mergeCell ref="U930:U931"/>
    <mergeCell ref="V930:V931"/>
    <mergeCell ref="R930:R931"/>
    <mergeCell ref="T930:T931"/>
    <mergeCell ref="O922:O923"/>
    <mergeCell ref="AC922:AC923"/>
    <mergeCell ref="AD922:AD923"/>
    <mergeCell ref="AE922:AE923"/>
    <mergeCell ref="AF922:AF923"/>
    <mergeCell ref="X922:X923"/>
    <mergeCell ref="Y922:Y923"/>
    <mergeCell ref="Z922:Z923"/>
    <mergeCell ref="H930:H931"/>
    <mergeCell ref="I930:I931"/>
    <mergeCell ref="AA922:AA923"/>
    <mergeCell ref="AB922:AB923"/>
    <mergeCell ref="U922:U923"/>
    <mergeCell ref="R922:R923"/>
    <mergeCell ref="T922:T923"/>
    <mergeCell ref="H922:H923"/>
    <mergeCell ref="N930:N931"/>
    <mergeCell ref="O930:O931"/>
  </mergeCells>
  <phoneticPr fontId="11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tabColor rgb="FFFF0000"/>
    <pageSetUpPr fitToPage="1"/>
  </sheetPr>
  <dimension ref="A1:FK56"/>
  <sheetViews>
    <sheetView view="pageBreakPreview" zoomScaleNormal="100" zoomScaleSheetLayoutView="100" workbookViewId="0">
      <selection activeCell="EN26" sqref="EN26"/>
    </sheetView>
  </sheetViews>
  <sheetFormatPr defaultColWidth="0.85546875" defaultRowHeight="12" customHeight="1"/>
  <cols>
    <col min="1" max="16384" width="0.85546875" style="199"/>
  </cols>
  <sheetData>
    <row r="1" spans="2:167" s="177" customFormat="1" ht="9.4" customHeight="1">
      <c r="CS1" s="1562" t="s">
        <v>1010</v>
      </c>
      <c r="CT1" s="1563"/>
      <c r="CU1" s="1563"/>
      <c r="CV1" s="1563"/>
      <c r="CW1" s="1563"/>
      <c r="CX1" s="1563"/>
      <c r="CY1" s="1563"/>
      <c r="CZ1" s="1563"/>
      <c r="DA1" s="1563"/>
      <c r="DB1" s="1563"/>
      <c r="DC1" s="1563"/>
      <c r="DD1" s="1563"/>
      <c r="DE1" s="1563"/>
      <c r="DF1" s="1563"/>
      <c r="DG1" s="1563"/>
      <c r="DH1" s="1563"/>
      <c r="DI1" s="1563"/>
      <c r="DJ1" s="1563"/>
      <c r="DK1" s="1563"/>
      <c r="DL1" s="1563"/>
      <c r="DM1" s="1563"/>
      <c r="DN1" s="1563"/>
      <c r="DO1" s="1563"/>
      <c r="DP1" s="1563"/>
      <c r="DQ1" s="1563"/>
      <c r="DR1" s="1563"/>
      <c r="DS1" s="1563"/>
      <c r="DT1" s="1563"/>
      <c r="DU1" s="1563"/>
      <c r="DV1" s="1563"/>
      <c r="DW1" s="1563"/>
      <c r="DX1" s="1563"/>
      <c r="DY1" s="1563"/>
      <c r="DZ1" s="1563"/>
      <c r="EA1" s="1563"/>
      <c r="EB1" s="1563"/>
      <c r="EC1" s="1563"/>
      <c r="ED1" s="1563"/>
      <c r="EE1" s="1563"/>
      <c r="EF1" s="1563"/>
      <c r="EG1" s="1563"/>
      <c r="EH1" s="1563"/>
      <c r="EI1" s="1563"/>
      <c r="EJ1" s="1563"/>
      <c r="EK1" s="1563"/>
      <c r="EL1" s="1563"/>
      <c r="EM1" s="1563"/>
      <c r="EN1" s="1563"/>
      <c r="EO1" s="1563"/>
      <c r="EP1" s="1563"/>
      <c r="EQ1" s="1563"/>
      <c r="ER1" s="1563"/>
      <c r="ES1" s="1563"/>
      <c r="ET1" s="1563"/>
      <c r="EU1" s="1563"/>
      <c r="EV1" s="1563"/>
      <c r="EW1" s="1563"/>
      <c r="EX1" s="1563"/>
      <c r="EY1" s="1563"/>
      <c r="EZ1" s="1563"/>
      <c r="FA1" s="1563"/>
      <c r="FB1" s="1563"/>
      <c r="FC1" s="1563"/>
      <c r="FD1" s="1563"/>
      <c r="FE1" s="1563"/>
      <c r="FF1" s="1563"/>
      <c r="FG1" s="1563"/>
      <c r="FH1" s="1563"/>
      <c r="FI1" s="1563"/>
      <c r="FJ1" s="1563"/>
      <c r="FK1" s="1563"/>
    </row>
    <row r="2" spans="2:167" s="177" customFormat="1" ht="9.4" customHeight="1">
      <c r="CS2" s="1563"/>
      <c r="CT2" s="1563"/>
      <c r="CU2" s="1563"/>
      <c r="CV2" s="1563"/>
      <c r="CW2" s="1563"/>
      <c r="CX2" s="1563"/>
      <c r="CY2" s="1563"/>
      <c r="CZ2" s="1563"/>
      <c r="DA2" s="1563"/>
      <c r="DB2" s="1563"/>
      <c r="DC2" s="1563"/>
      <c r="DD2" s="1563"/>
      <c r="DE2" s="1563"/>
      <c r="DF2" s="1563"/>
      <c r="DG2" s="1563"/>
      <c r="DH2" s="1563"/>
      <c r="DI2" s="1563"/>
      <c r="DJ2" s="1563"/>
      <c r="DK2" s="1563"/>
      <c r="DL2" s="1563"/>
      <c r="DM2" s="1563"/>
      <c r="DN2" s="1563"/>
      <c r="DO2" s="1563"/>
      <c r="DP2" s="1563"/>
      <c r="DQ2" s="1563"/>
      <c r="DR2" s="1563"/>
      <c r="DS2" s="1563"/>
      <c r="DT2" s="1563"/>
      <c r="DU2" s="1563"/>
      <c r="DV2" s="1563"/>
      <c r="DW2" s="1563"/>
      <c r="DX2" s="1563"/>
      <c r="DY2" s="1563"/>
      <c r="DZ2" s="1563"/>
      <c r="EA2" s="1563"/>
      <c r="EB2" s="1563"/>
      <c r="EC2" s="1563"/>
      <c r="ED2" s="1563"/>
      <c r="EE2" s="1563"/>
      <c r="EF2" s="1563"/>
      <c r="EG2" s="1563"/>
      <c r="EH2" s="1563"/>
      <c r="EI2" s="1563"/>
      <c r="EJ2" s="1563"/>
      <c r="EK2" s="1563"/>
      <c r="EL2" s="1563"/>
      <c r="EM2" s="1563"/>
      <c r="EN2" s="1563"/>
      <c r="EO2" s="1563"/>
      <c r="EP2" s="1563"/>
      <c r="EQ2" s="1563"/>
      <c r="ER2" s="1563"/>
      <c r="ES2" s="1563"/>
      <c r="ET2" s="1563"/>
      <c r="EU2" s="1563"/>
      <c r="EV2" s="1563"/>
      <c r="EW2" s="1563"/>
      <c r="EX2" s="1563"/>
      <c r="EY2" s="1563"/>
      <c r="EZ2" s="1563"/>
      <c r="FA2" s="1563"/>
      <c r="FB2" s="1563"/>
      <c r="FC2" s="1563"/>
      <c r="FD2" s="1563"/>
      <c r="FE2" s="1563"/>
      <c r="FF2" s="1563"/>
      <c r="FG2" s="1563"/>
      <c r="FH2" s="1563"/>
      <c r="FI2" s="1563"/>
      <c r="FJ2" s="1563"/>
      <c r="FK2" s="1563"/>
    </row>
    <row r="3" spans="2:167" s="177" customFormat="1" ht="9.4" customHeight="1">
      <c r="CS3" s="1563"/>
      <c r="CT3" s="1563"/>
      <c r="CU3" s="1563"/>
      <c r="CV3" s="1563"/>
      <c r="CW3" s="1563"/>
      <c r="CX3" s="1563"/>
      <c r="CY3" s="1563"/>
      <c r="CZ3" s="1563"/>
      <c r="DA3" s="1563"/>
      <c r="DB3" s="1563"/>
      <c r="DC3" s="1563"/>
      <c r="DD3" s="1563"/>
      <c r="DE3" s="1563"/>
      <c r="DF3" s="1563"/>
      <c r="DG3" s="1563"/>
      <c r="DH3" s="1563"/>
      <c r="DI3" s="1563"/>
      <c r="DJ3" s="1563"/>
      <c r="DK3" s="1563"/>
      <c r="DL3" s="1563"/>
      <c r="DM3" s="1563"/>
      <c r="DN3" s="1563"/>
      <c r="DO3" s="1563"/>
      <c r="DP3" s="1563"/>
      <c r="DQ3" s="1563"/>
      <c r="DR3" s="1563"/>
      <c r="DS3" s="1563"/>
      <c r="DT3" s="1563"/>
      <c r="DU3" s="1563"/>
      <c r="DV3" s="1563"/>
      <c r="DW3" s="1563"/>
      <c r="DX3" s="1563"/>
      <c r="DY3" s="1563"/>
      <c r="DZ3" s="1563"/>
      <c r="EA3" s="1563"/>
      <c r="EB3" s="1563"/>
      <c r="EC3" s="1563"/>
      <c r="ED3" s="1563"/>
      <c r="EE3" s="1563"/>
      <c r="EF3" s="1563"/>
      <c r="EG3" s="1563"/>
      <c r="EH3" s="1563"/>
      <c r="EI3" s="1563"/>
      <c r="EJ3" s="1563"/>
      <c r="EK3" s="1563"/>
      <c r="EL3" s="1563"/>
      <c r="EM3" s="1563"/>
      <c r="EN3" s="1563"/>
      <c r="EO3" s="1563"/>
      <c r="EP3" s="1563"/>
      <c r="EQ3" s="1563"/>
      <c r="ER3" s="1563"/>
      <c r="ES3" s="1563"/>
      <c r="ET3" s="1563"/>
      <c r="EU3" s="1563"/>
      <c r="EV3" s="1563"/>
      <c r="EW3" s="1563"/>
      <c r="EX3" s="1563"/>
      <c r="EY3" s="1563"/>
      <c r="EZ3" s="1563"/>
      <c r="FA3" s="1563"/>
      <c r="FB3" s="1563"/>
      <c r="FC3" s="1563"/>
      <c r="FD3" s="1563"/>
      <c r="FE3" s="1563"/>
      <c r="FF3" s="1563"/>
      <c r="FG3" s="1563"/>
      <c r="FH3" s="1563"/>
      <c r="FI3" s="1563"/>
      <c r="FJ3" s="1563"/>
      <c r="FK3" s="1563"/>
    </row>
    <row r="4" spans="2:167" s="177" customFormat="1" ht="9.4" customHeight="1">
      <c r="CS4" s="1563"/>
      <c r="CT4" s="1563"/>
      <c r="CU4" s="1563"/>
      <c r="CV4" s="1563"/>
      <c r="CW4" s="1563"/>
      <c r="CX4" s="1563"/>
      <c r="CY4" s="1563"/>
      <c r="CZ4" s="1563"/>
      <c r="DA4" s="1563"/>
      <c r="DB4" s="1563"/>
      <c r="DC4" s="1563"/>
      <c r="DD4" s="1563"/>
      <c r="DE4" s="1563"/>
      <c r="DF4" s="1563"/>
      <c r="DG4" s="1563"/>
      <c r="DH4" s="1563"/>
      <c r="DI4" s="1563"/>
      <c r="DJ4" s="1563"/>
      <c r="DK4" s="1563"/>
      <c r="DL4" s="1563"/>
      <c r="DM4" s="1563"/>
      <c r="DN4" s="1563"/>
      <c r="DO4" s="1563"/>
      <c r="DP4" s="1563"/>
      <c r="DQ4" s="1563"/>
      <c r="DR4" s="1563"/>
      <c r="DS4" s="1563"/>
      <c r="DT4" s="1563"/>
      <c r="DU4" s="1563"/>
      <c r="DV4" s="1563"/>
      <c r="DW4" s="1563"/>
      <c r="DX4" s="1563"/>
      <c r="DY4" s="1563"/>
      <c r="DZ4" s="1563"/>
      <c r="EA4" s="1563"/>
      <c r="EB4" s="1563"/>
      <c r="EC4" s="1563"/>
      <c r="ED4" s="1563"/>
      <c r="EE4" s="1563"/>
      <c r="EF4" s="1563"/>
      <c r="EG4" s="1563"/>
      <c r="EH4" s="1563"/>
      <c r="EI4" s="1563"/>
      <c r="EJ4" s="1563"/>
      <c r="EK4" s="1563"/>
      <c r="EL4" s="1563"/>
      <c r="EM4" s="1563"/>
      <c r="EN4" s="1563"/>
      <c r="EO4" s="1563"/>
      <c r="EP4" s="1563"/>
      <c r="EQ4" s="1563"/>
      <c r="ER4" s="1563"/>
      <c r="ES4" s="1563"/>
      <c r="ET4" s="1563"/>
      <c r="EU4" s="1563"/>
      <c r="EV4" s="1563"/>
      <c r="EW4" s="1563"/>
      <c r="EX4" s="1563"/>
      <c r="EY4" s="1563"/>
      <c r="EZ4" s="1563"/>
      <c r="FA4" s="1563"/>
      <c r="FB4" s="1563"/>
      <c r="FC4" s="1563"/>
      <c r="FD4" s="1563"/>
      <c r="FE4" s="1563"/>
      <c r="FF4" s="1563"/>
      <c r="FG4" s="1563"/>
      <c r="FH4" s="1563"/>
      <c r="FI4" s="1563"/>
      <c r="FJ4" s="1563"/>
      <c r="FK4" s="1563"/>
    </row>
    <row r="5" spans="2:167" s="177" customFormat="1" ht="3" customHeight="1">
      <c r="CS5" s="1563"/>
      <c r="CT5" s="1563"/>
      <c r="CU5" s="1563"/>
      <c r="CV5" s="1563"/>
      <c r="CW5" s="1563"/>
      <c r="CX5" s="1563"/>
      <c r="CY5" s="1563"/>
      <c r="CZ5" s="1563"/>
      <c r="DA5" s="1563"/>
      <c r="DB5" s="1563"/>
      <c r="DC5" s="1563"/>
      <c r="DD5" s="1563"/>
      <c r="DE5" s="1563"/>
      <c r="DF5" s="1563"/>
      <c r="DG5" s="1563"/>
      <c r="DH5" s="1563"/>
      <c r="DI5" s="1563"/>
      <c r="DJ5" s="1563"/>
      <c r="DK5" s="1563"/>
      <c r="DL5" s="1563"/>
      <c r="DM5" s="1563"/>
      <c r="DN5" s="1563"/>
      <c r="DO5" s="1563"/>
      <c r="DP5" s="1563"/>
      <c r="DQ5" s="1563"/>
      <c r="DR5" s="1563"/>
      <c r="DS5" s="1563"/>
      <c r="DT5" s="1563"/>
      <c r="DU5" s="1563"/>
      <c r="DV5" s="1563"/>
      <c r="DW5" s="1563"/>
      <c r="DX5" s="1563"/>
      <c r="DY5" s="1563"/>
      <c r="DZ5" s="1563"/>
      <c r="EA5" s="1563"/>
      <c r="EB5" s="1563"/>
      <c r="EC5" s="1563"/>
      <c r="ED5" s="1563"/>
      <c r="EE5" s="1563"/>
      <c r="EF5" s="1563"/>
      <c r="EG5" s="1563"/>
      <c r="EH5" s="1563"/>
      <c r="EI5" s="1563"/>
      <c r="EJ5" s="1563"/>
      <c r="EK5" s="1563"/>
      <c r="EL5" s="1563"/>
      <c r="EM5" s="1563"/>
      <c r="EN5" s="1563"/>
      <c r="EO5" s="1563"/>
      <c r="EP5" s="1563"/>
      <c r="EQ5" s="1563"/>
      <c r="ER5" s="1563"/>
      <c r="ES5" s="1563"/>
      <c r="ET5" s="1563"/>
      <c r="EU5" s="1563"/>
      <c r="EV5" s="1563"/>
      <c r="EW5" s="1563"/>
      <c r="EX5" s="1563"/>
      <c r="EY5" s="1563"/>
      <c r="EZ5" s="1563"/>
      <c r="FA5" s="1563"/>
      <c r="FB5" s="1563"/>
      <c r="FC5" s="1563"/>
      <c r="FD5" s="1563"/>
      <c r="FE5" s="1563"/>
      <c r="FF5" s="1563"/>
      <c r="FG5" s="1563"/>
      <c r="FH5" s="1563"/>
      <c r="FI5" s="1563"/>
      <c r="FJ5" s="1563"/>
      <c r="FK5" s="1563"/>
    </row>
    <row r="6" spans="2:167" s="178" customFormat="1" ht="9.4" customHeight="1">
      <c r="CS6" s="1563"/>
      <c r="CT6" s="1563"/>
      <c r="CU6" s="1563"/>
      <c r="CV6" s="1563"/>
      <c r="CW6" s="1563"/>
      <c r="CX6" s="1563"/>
      <c r="CY6" s="1563"/>
      <c r="CZ6" s="1563"/>
      <c r="DA6" s="1563"/>
      <c r="DB6" s="1563"/>
      <c r="DC6" s="1563"/>
      <c r="DD6" s="1563"/>
      <c r="DE6" s="1563"/>
      <c r="DF6" s="1563"/>
      <c r="DG6" s="1563"/>
      <c r="DH6" s="1563"/>
      <c r="DI6" s="1563"/>
      <c r="DJ6" s="1563"/>
      <c r="DK6" s="1563"/>
      <c r="DL6" s="1563"/>
      <c r="DM6" s="1563"/>
      <c r="DN6" s="1563"/>
      <c r="DO6" s="1563"/>
      <c r="DP6" s="1563"/>
      <c r="DQ6" s="1563"/>
      <c r="DR6" s="1563"/>
      <c r="DS6" s="1563"/>
      <c r="DT6" s="1563"/>
      <c r="DU6" s="1563"/>
      <c r="DV6" s="1563"/>
      <c r="DW6" s="1563"/>
      <c r="DX6" s="1563"/>
      <c r="DY6" s="1563"/>
      <c r="DZ6" s="1563"/>
      <c r="EA6" s="1563"/>
      <c r="EB6" s="1563"/>
      <c r="EC6" s="1563"/>
      <c r="ED6" s="1563"/>
      <c r="EE6" s="1563"/>
      <c r="EF6" s="1563"/>
      <c r="EG6" s="1563"/>
      <c r="EH6" s="1563"/>
      <c r="EI6" s="1563"/>
      <c r="EJ6" s="1563"/>
      <c r="EK6" s="1563"/>
      <c r="EL6" s="1563"/>
      <c r="EM6" s="1563"/>
      <c r="EN6" s="1563"/>
      <c r="EO6" s="1563"/>
      <c r="EP6" s="1563"/>
      <c r="EQ6" s="1563"/>
      <c r="ER6" s="1563"/>
      <c r="ES6" s="1563"/>
      <c r="ET6" s="1563"/>
      <c r="EU6" s="1563"/>
      <c r="EV6" s="1563"/>
      <c r="EW6" s="1563"/>
      <c r="EX6" s="1563"/>
      <c r="EY6" s="1563"/>
      <c r="EZ6" s="1563"/>
      <c r="FA6" s="1563"/>
      <c r="FB6" s="1563"/>
      <c r="FC6" s="1563"/>
      <c r="FD6" s="1563"/>
      <c r="FE6" s="1563"/>
      <c r="FF6" s="1563"/>
      <c r="FG6" s="1563"/>
      <c r="FH6" s="1563"/>
      <c r="FI6" s="1563"/>
      <c r="FJ6" s="1563"/>
      <c r="FK6" s="1563"/>
    </row>
    <row r="7" spans="2:167" s="177" customFormat="1" ht="13.15" customHeight="1">
      <c r="CS7" s="1563"/>
      <c r="CT7" s="1563"/>
      <c r="CU7" s="1563"/>
      <c r="CV7" s="1563"/>
      <c r="CW7" s="1563"/>
      <c r="CX7" s="1563"/>
      <c r="CY7" s="1563"/>
      <c r="CZ7" s="1563"/>
      <c r="DA7" s="1563"/>
      <c r="DB7" s="1563"/>
      <c r="DC7" s="1563"/>
      <c r="DD7" s="1563"/>
      <c r="DE7" s="1563"/>
      <c r="DF7" s="1563"/>
      <c r="DG7" s="1563"/>
      <c r="DH7" s="1563"/>
      <c r="DI7" s="1563"/>
      <c r="DJ7" s="1563"/>
      <c r="DK7" s="1563"/>
      <c r="DL7" s="1563"/>
      <c r="DM7" s="1563"/>
      <c r="DN7" s="1563"/>
      <c r="DO7" s="1563"/>
      <c r="DP7" s="1563"/>
      <c r="DQ7" s="1563"/>
      <c r="DR7" s="1563"/>
      <c r="DS7" s="1563"/>
      <c r="DT7" s="1563"/>
      <c r="DU7" s="1563"/>
      <c r="DV7" s="1563"/>
      <c r="DW7" s="1563"/>
      <c r="DX7" s="1563"/>
      <c r="DY7" s="1563"/>
      <c r="DZ7" s="1563"/>
      <c r="EA7" s="1563"/>
      <c r="EB7" s="1563"/>
      <c r="EC7" s="1563"/>
      <c r="ED7" s="1563"/>
      <c r="EE7" s="1563"/>
      <c r="EF7" s="1563"/>
      <c r="EG7" s="1563"/>
      <c r="EH7" s="1563"/>
      <c r="EI7" s="1563"/>
      <c r="EJ7" s="1563"/>
      <c r="EK7" s="1563"/>
      <c r="EL7" s="1563"/>
      <c r="EM7" s="1563"/>
      <c r="EN7" s="1563"/>
      <c r="EO7" s="1563"/>
      <c r="EP7" s="1563"/>
      <c r="EQ7" s="1563"/>
      <c r="ER7" s="1563"/>
      <c r="ES7" s="1563"/>
      <c r="ET7" s="1563"/>
      <c r="EU7" s="1563"/>
      <c r="EV7" s="1563"/>
      <c r="EW7" s="1563"/>
      <c r="EX7" s="1563"/>
      <c r="EY7" s="1563"/>
      <c r="EZ7" s="1563"/>
      <c r="FA7" s="1563"/>
      <c r="FB7" s="1563"/>
      <c r="FC7" s="1563"/>
      <c r="FD7" s="1563"/>
      <c r="FE7" s="1563"/>
      <c r="FF7" s="1563"/>
      <c r="FG7" s="1563"/>
      <c r="FH7" s="1563"/>
      <c r="FI7" s="1563"/>
      <c r="FJ7" s="1563"/>
      <c r="FK7" s="1563"/>
    </row>
    <row r="8" spans="2:167" s="536" customFormat="1" ht="10.5" customHeight="1">
      <c r="BP8" s="1670" t="s">
        <v>1845</v>
      </c>
      <c r="BQ8" s="1670"/>
      <c r="BR8" s="1670"/>
      <c r="BS8" s="1670"/>
      <c r="BT8" s="1670"/>
      <c r="BU8" s="1670"/>
      <c r="BV8" s="1670"/>
      <c r="BW8" s="1670"/>
      <c r="BX8" s="1670"/>
      <c r="BY8" s="1670"/>
      <c r="BZ8" s="1670"/>
      <c r="CA8" s="1670"/>
      <c r="CB8" s="1670"/>
      <c r="CC8" s="1670"/>
      <c r="CD8" s="1670"/>
      <c r="CE8" s="1670"/>
      <c r="CF8" s="1670"/>
      <c r="CG8" s="1670"/>
      <c r="CH8" s="1670"/>
      <c r="CI8" s="1670"/>
      <c r="CJ8" s="1670"/>
      <c r="CK8" s="1670"/>
      <c r="CL8" s="1670"/>
      <c r="CM8" s="1670"/>
      <c r="CN8" s="1670"/>
      <c r="CO8" s="1670"/>
      <c r="CP8" s="1670"/>
      <c r="CQ8" s="1670"/>
      <c r="CR8" s="1670"/>
      <c r="CS8" s="1670"/>
      <c r="CT8" s="1670"/>
      <c r="CU8" s="1670"/>
      <c r="CV8" s="1670"/>
      <c r="CW8" s="1670"/>
      <c r="CX8" s="1670"/>
      <c r="CY8" s="1670"/>
      <c r="CZ8" s="1670"/>
      <c r="DA8" s="1670"/>
      <c r="DB8" s="1670"/>
      <c r="DC8" s="1670"/>
      <c r="DD8" s="1670"/>
      <c r="DE8" s="1670"/>
      <c r="DF8" s="1670"/>
      <c r="DG8" s="1670"/>
      <c r="DH8" s="1670"/>
      <c r="DI8" s="1670"/>
      <c r="DJ8" s="1670"/>
      <c r="DK8" s="1670"/>
      <c r="DL8" s="1670"/>
      <c r="DM8" s="1670"/>
      <c r="DN8" s="1670"/>
      <c r="DO8" s="1670"/>
      <c r="DP8" s="1670"/>
      <c r="DQ8" s="1670"/>
      <c r="DR8" s="1670"/>
      <c r="DS8" s="1670"/>
      <c r="DT8" s="1670"/>
      <c r="DU8" s="1670"/>
      <c r="DV8" s="1670"/>
      <c r="DW8" s="1670"/>
      <c r="DX8" s="1670"/>
      <c r="DY8" s="1670"/>
      <c r="DZ8" s="1670"/>
      <c r="EA8" s="1670"/>
      <c r="EB8" s="1670"/>
      <c r="EC8" s="1670"/>
      <c r="ED8" s="1670"/>
      <c r="EE8" s="1670"/>
      <c r="EF8" s="1670"/>
      <c r="EG8" s="1670"/>
      <c r="EH8" s="1670"/>
      <c r="EI8" s="1670"/>
      <c r="EJ8" s="1670"/>
      <c r="EK8" s="1670"/>
      <c r="EL8" s="1670"/>
      <c r="EM8" s="1670"/>
      <c r="EN8" s="1670"/>
      <c r="EO8" s="1670"/>
      <c r="EP8" s="1670"/>
      <c r="EQ8" s="1670"/>
      <c r="ER8" s="1670"/>
      <c r="ES8" s="1670"/>
      <c r="ET8" s="1670"/>
      <c r="EU8" s="1670"/>
      <c r="EV8" s="1670"/>
      <c r="EW8" s="1670"/>
      <c r="EX8" s="1670"/>
      <c r="EY8" s="1670"/>
      <c r="EZ8" s="1670"/>
      <c r="FA8" s="1670"/>
      <c r="FB8" s="1670"/>
      <c r="FC8" s="1670"/>
      <c r="FD8" s="1670"/>
      <c r="FE8" s="1670"/>
      <c r="FF8" s="1670"/>
      <c r="FG8" s="1670"/>
      <c r="FH8" s="1670"/>
      <c r="FI8" s="1670"/>
      <c r="FJ8" s="1670"/>
      <c r="FK8" s="1670"/>
    </row>
    <row r="9" spans="2:167" s="536" customFormat="1" ht="10.5" customHeight="1">
      <c r="BP9" s="1671"/>
      <c r="BQ9" s="1671"/>
      <c r="BR9" s="1671"/>
      <c r="BS9" s="1671"/>
      <c r="BT9" s="1671"/>
      <c r="BU9" s="1671"/>
      <c r="BV9" s="1671"/>
      <c r="BW9" s="1671"/>
      <c r="BX9" s="1671"/>
      <c r="BY9" s="1671"/>
      <c r="BZ9" s="1671"/>
      <c r="CA9" s="1671"/>
      <c r="CB9" s="1671"/>
      <c r="CC9" s="1671"/>
      <c r="CD9" s="1671"/>
      <c r="CE9" s="1671"/>
      <c r="CF9" s="1671"/>
      <c r="CG9" s="1671"/>
      <c r="CH9" s="1671"/>
      <c r="CI9" s="1671"/>
      <c r="CJ9" s="1671"/>
      <c r="CK9" s="1671"/>
      <c r="CL9" s="1671"/>
      <c r="CM9" s="1671"/>
      <c r="CN9" s="1671"/>
      <c r="CO9" s="1671"/>
      <c r="CP9" s="1671"/>
      <c r="CQ9" s="1671"/>
      <c r="CR9" s="1671"/>
      <c r="CS9" s="1671"/>
      <c r="CT9" s="1671"/>
      <c r="CU9" s="1671"/>
      <c r="CV9" s="1671"/>
      <c r="CW9" s="1671"/>
      <c r="CX9" s="1671"/>
      <c r="CY9" s="1671"/>
      <c r="CZ9" s="1671"/>
      <c r="DA9" s="1671"/>
      <c r="DB9" s="1671"/>
      <c r="DC9" s="1671"/>
      <c r="DD9" s="1671"/>
      <c r="DE9" s="1671"/>
      <c r="DF9" s="1671"/>
      <c r="DG9" s="1671"/>
      <c r="DH9" s="1671"/>
      <c r="DI9" s="1671"/>
      <c r="DJ9" s="1671"/>
      <c r="DK9" s="1671"/>
      <c r="DL9" s="1671"/>
      <c r="DM9" s="1671"/>
      <c r="DN9" s="1671"/>
      <c r="DO9" s="1671"/>
      <c r="DP9" s="1671"/>
      <c r="DQ9" s="1671"/>
      <c r="DR9" s="1671"/>
      <c r="DS9" s="1671"/>
      <c r="DT9" s="1671"/>
      <c r="DU9" s="1671"/>
      <c r="DV9" s="1671"/>
      <c r="DW9" s="1671"/>
      <c r="DX9" s="1671"/>
      <c r="DY9" s="1671"/>
      <c r="DZ9" s="1671"/>
      <c r="EA9" s="1671"/>
      <c r="EB9" s="1671"/>
      <c r="EC9" s="1671"/>
      <c r="ED9" s="1671"/>
      <c r="EE9" s="1671"/>
      <c r="EF9" s="1671"/>
      <c r="EG9" s="1671"/>
      <c r="EH9" s="1671"/>
      <c r="EI9" s="1671"/>
      <c r="EJ9" s="1671"/>
      <c r="EK9" s="1671"/>
      <c r="EL9" s="1671"/>
      <c r="EM9" s="1671"/>
      <c r="EN9" s="1671"/>
      <c r="EO9" s="1671"/>
      <c r="EP9" s="1671"/>
      <c r="EQ9" s="1671"/>
      <c r="ER9" s="1671"/>
      <c r="ES9" s="1671"/>
      <c r="ET9" s="1671"/>
      <c r="EU9" s="1671"/>
      <c r="EV9" s="1671"/>
      <c r="EW9" s="1671"/>
      <c r="EX9" s="1671"/>
      <c r="EY9" s="1671"/>
      <c r="EZ9" s="1671"/>
      <c r="FA9" s="1671"/>
      <c r="FB9" s="1671"/>
      <c r="FC9" s="1671"/>
      <c r="FD9" s="1671"/>
      <c r="FE9" s="1671"/>
      <c r="FF9" s="1671"/>
      <c r="FG9" s="1671"/>
      <c r="FH9" s="1671"/>
      <c r="FI9" s="1671"/>
      <c r="FJ9" s="1671"/>
      <c r="FK9" s="1671"/>
    </row>
    <row r="10" spans="2:167" s="177" customFormat="1" ht="9.75" customHeight="1">
      <c r="BP10" s="1669" t="s">
        <v>1007</v>
      </c>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row>
    <row r="11" spans="2:167" s="536" customFormat="1" ht="10.5" customHeight="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row>
    <row r="12" spans="2:167" s="177" customFormat="1" ht="9.75" customHeight="1">
      <c r="BP12" s="1669" t="s">
        <v>1008</v>
      </c>
      <c r="BQ12" s="1669"/>
      <c r="BR12" s="1669"/>
      <c r="BS12" s="1669"/>
      <c r="BT12" s="1669"/>
      <c r="BU12" s="1669"/>
      <c r="BV12" s="1669"/>
      <c r="BW12" s="1669"/>
      <c r="BX12" s="1669"/>
      <c r="BY12" s="1669"/>
      <c r="BZ12" s="1669"/>
      <c r="CA12" s="1669"/>
      <c r="CB12" s="1669"/>
      <c r="CC12" s="1669"/>
      <c r="CD12" s="1669"/>
      <c r="CE12" s="1669"/>
      <c r="CF12" s="1669"/>
      <c r="CG12" s="1669"/>
      <c r="CH12" s="1669"/>
      <c r="CI12" s="1669"/>
      <c r="CJ12" s="1669"/>
      <c r="CK12" s="1669"/>
      <c r="CL12" s="1669"/>
      <c r="CM12" s="1669"/>
      <c r="CN12" s="1669"/>
      <c r="CO12" s="1669"/>
      <c r="CP12" s="1669"/>
      <c r="CQ12" s="1669"/>
      <c r="CR12" s="1669"/>
      <c r="CS12" s="1669"/>
      <c r="CT12" s="1669"/>
      <c r="CU12" s="1669"/>
      <c r="CV12" s="1669"/>
      <c r="CW12" s="1669"/>
      <c r="CX12" s="1669"/>
      <c r="CY12" s="1669"/>
      <c r="CZ12" s="1669"/>
      <c r="DA12" s="1669"/>
      <c r="DB12" s="1669"/>
      <c r="DC12" s="1669"/>
      <c r="DD12" s="1669"/>
      <c r="DE12" s="1669"/>
      <c r="DF12" s="1669"/>
      <c r="DG12" s="1669"/>
      <c r="DH12" s="1669"/>
      <c r="DI12" s="1669"/>
      <c r="DJ12" s="1669"/>
      <c r="DK12" s="1669"/>
      <c r="DL12" s="1669"/>
      <c r="DM12" s="1669"/>
      <c r="DN12" s="1669"/>
      <c r="DO12" s="1669"/>
      <c r="DP12" s="1669"/>
      <c r="DQ12" s="1669"/>
      <c r="DR12" s="1669"/>
      <c r="DS12" s="1669"/>
      <c r="DT12" s="1669"/>
      <c r="DU12" s="1669"/>
      <c r="DV12" s="1669"/>
      <c r="DW12" s="1669"/>
      <c r="DX12" s="1669"/>
      <c r="DY12" s="1669"/>
      <c r="DZ12" s="1669"/>
      <c r="EA12" s="1669"/>
      <c r="EB12" s="1669"/>
      <c r="EC12" s="1669"/>
      <c r="ED12" s="1669"/>
      <c r="EE12" s="1669"/>
      <c r="EF12" s="1669"/>
      <c r="EG12" s="1669"/>
      <c r="EH12" s="1669"/>
      <c r="EI12" s="1669"/>
      <c r="EJ12" s="1669"/>
      <c r="EK12" s="1669"/>
      <c r="EL12" s="1669"/>
      <c r="EM12" s="1669"/>
      <c r="EN12" s="1669"/>
      <c r="EO12" s="1669"/>
      <c r="EP12" s="1669"/>
      <c r="EQ12" s="1669"/>
      <c r="ER12" s="1669"/>
      <c r="ES12" s="1669"/>
      <c r="ET12" s="1669"/>
      <c r="EU12" s="1669"/>
      <c r="EV12" s="1669"/>
      <c r="EW12" s="1669"/>
      <c r="EX12" s="1669"/>
      <c r="EY12" s="1669"/>
      <c r="EZ12" s="1669"/>
      <c r="FA12" s="1669"/>
      <c r="FB12" s="1669"/>
      <c r="FC12" s="1669"/>
      <c r="FD12" s="1669"/>
      <c r="FE12" s="1669"/>
      <c r="FF12" s="1669"/>
      <c r="FG12" s="1669"/>
      <c r="FH12" s="1669"/>
      <c r="FI12" s="1669"/>
      <c r="FJ12" s="1669"/>
      <c r="FK12" s="1669"/>
    </row>
    <row r="13" spans="2:167" s="536" customFormat="1" ht="10.5" customHeight="1">
      <c r="BP13" s="1599"/>
      <c r="BQ13" s="1599"/>
      <c r="BR13" s="1599"/>
      <c r="BS13" s="1599"/>
      <c r="BT13" s="1599"/>
      <c r="BU13" s="1599"/>
      <c r="BV13" s="1599"/>
      <c r="BW13" s="1599"/>
      <c r="BX13" s="1599"/>
      <c r="BY13" s="1599"/>
      <c r="BZ13" s="1599"/>
      <c r="CA13" s="1599"/>
      <c r="CB13" s="1599"/>
      <c r="CC13" s="1599"/>
      <c r="CD13" s="1599"/>
      <c r="CE13" s="1599"/>
      <c r="CF13" s="1599"/>
      <c r="CG13" s="1599"/>
      <c r="CH13" s="1599"/>
      <c r="CI13" s="1599"/>
      <c r="CJ13" s="1599"/>
      <c r="CK13" s="1599"/>
      <c r="CL13" s="539"/>
      <c r="CM13" s="539"/>
      <c r="DT13" s="539"/>
      <c r="DU13" s="539"/>
      <c r="DV13" s="539"/>
      <c r="DW13" s="539"/>
      <c r="DX13" s="539"/>
      <c r="DY13" s="1599"/>
      <c r="DZ13" s="1599"/>
      <c r="EA13" s="1599"/>
      <c r="EB13" s="1599"/>
      <c r="EC13" s="1599"/>
      <c r="ED13" s="1599"/>
      <c r="EE13" s="1599"/>
      <c r="EF13" s="1599"/>
      <c r="EG13" s="1599"/>
      <c r="EH13" s="1599"/>
      <c r="EI13" s="1599"/>
      <c r="EJ13" s="1599"/>
      <c r="EK13" s="1599"/>
      <c r="EL13" s="1599"/>
      <c r="EM13" s="1599"/>
      <c r="EN13" s="1599"/>
      <c r="EO13" s="1599"/>
      <c r="EP13" s="1599"/>
      <c r="EQ13" s="1599"/>
      <c r="ER13" s="1599"/>
      <c r="ES13" s="1599"/>
      <c r="ET13" s="1599"/>
      <c r="EU13" s="1599"/>
      <c r="EV13" s="1599"/>
      <c r="EW13" s="1599"/>
      <c r="EX13" s="1599"/>
      <c r="EY13" s="1599"/>
      <c r="EZ13" s="1599"/>
      <c r="FA13" s="1599"/>
      <c r="FB13" s="1599"/>
      <c r="FC13" s="1599"/>
      <c r="FD13" s="1599"/>
      <c r="FE13" s="1599"/>
      <c r="FF13" s="1599"/>
      <c r="FG13" s="1599"/>
      <c r="FH13" s="1599"/>
      <c r="FI13" s="1599"/>
      <c r="FJ13" s="1599"/>
      <c r="FK13" s="1599"/>
    </row>
    <row r="14" spans="2:167" s="177" customFormat="1" ht="9.75" customHeight="1">
      <c r="BP14" s="1600" t="s">
        <v>1846</v>
      </c>
      <c r="BQ14" s="1600"/>
      <c r="BR14" s="1600"/>
      <c r="BS14" s="1600"/>
      <c r="BT14" s="1600"/>
      <c r="BU14" s="1600"/>
      <c r="BV14" s="1600"/>
      <c r="BW14" s="1600"/>
      <c r="BX14" s="1600"/>
      <c r="BY14" s="1600"/>
      <c r="BZ14" s="1600"/>
      <c r="CA14" s="1600"/>
      <c r="CB14" s="1600"/>
      <c r="CC14" s="1600"/>
      <c r="CD14" s="1600"/>
      <c r="CE14" s="1600"/>
      <c r="CF14" s="1600"/>
      <c r="CG14" s="1600"/>
      <c r="CH14" s="1600"/>
      <c r="CI14" s="1600"/>
      <c r="CJ14" s="1600"/>
      <c r="CK14" s="1600"/>
      <c r="CL14" s="535"/>
      <c r="CM14" s="535"/>
      <c r="DY14" s="1621" t="s">
        <v>1847</v>
      </c>
      <c r="DZ14" s="1621"/>
      <c r="EA14" s="1621"/>
      <c r="EB14" s="1621"/>
      <c r="EC14" s="1621"/>
      <c r="ED14" s="1621"/>
      <c r="EE14" s="1621"/>
      <c r="EF14" s="1621"/>
      <c r="EG14" s="1621"/>
      <c r="EH14" s="1621"/>
      <c r="EI14" s="1621"/>
      <c r="EJ14" s="1621"/>
      <c r="EK14" s="1621"/>
      <c r="EL14" s="1621"/>
      <c r="EM14" s="1621"/>
      <c r="EN14" s="1621"/>
      <c r="EO14" s="1621"/>
      <c r="EP14" s="1621"/>
      <c r="EQ14" s="1621"/>
      <c r="ER14" s="1621"/>
      <c r="ES14" s="1621"/>
      <c r="ET14" s="1621"/>
      <c r="EU14" s="1621"/>
      <c r="EV14" s="1621"/>
      <c r="EW14" s="1621"/>
      <c r="EX14" s="1621"/>
      <c r="EY14" s="1621"/>
      <c r="EZ14" s="1621"/>
      <c r="FA14" s="1621"/>
      <c r="FB14" s="1621"/>
      <c r="FC14" s="1621"/>
      <c r="FD14" s="1621"/>
      <c r="FE14" s="1621"/>
      <c r="FF14" s="1621"/>
      <c r="FG14" s="1621"/>
      <c r="FH14" s="1621"/>
      <c r="FI14" s="1621"/>
      <c r="FJ14" s="1621"/>
      <c r="FK14" s="1621"/>
    </row>
    <row r="15" spans="2:167" s="536" customFormat="1" ht="10.5" customHeight="1">
      <c r="BP15" s="537" t="s">
        <v>1848</v>
      </c>
      <c r="BQ15" s="1597"/>
      <c r="BR15" s="1597"/>
      <c r="BS15" s="1597"/>
      <c r="BT15" s="1597"/>
      <c r="BU15" s="1597"/>
      <c r="BV15" s="1564" t="s">
        <v>1848</v>
      </c>
      <c r="BW15" s="1564"/>
      <c r="BX15" s="1597"/>
      <c r="BY15" s="1597"/>
      <c r="BZ15" s="1597"/>
      <c r="CA15" s="1597"/>
      <c r="CB15" s="1597"/>
      <c r="CC15" s="1597"/>
      <c r="CD15" s="1597"/>
      <c r="CE15" s="1597"/>
      <c r="CF15" s="1597"/>
      <c r="CG15" s="1597"/>
      <c r="CH15" s="1597"/>
      <c r="CI15" s="1597"/>
      <c r="CJ15" s="1597"/>
      <c r="CK15" s="1597"/>
      <c r="CL15" s="1597"/>
      <c r="CM15" s="1597"/>
      <c r="CN15" s="1597"/>
      <c r="CO15" s="1597"/>
      <c r="CP15" s="1597"/>
      <c r="CQ15" s="1597"/>
      <c r="CR15" s="1597"/>
      <c r="CS15" s="1597"/>
      <c r="CT15" s="1597"/>
      <c r="CU15" s="1598">
        <v>20</v>
      </c>
      <c r="CV15" s="1598"/>
      <c r="CW15" s="1598"/>
      <c r="CX15" s="1598"/>
      <c r="CY15" s="1616"/>
      <c r="CZ15" s="1616"/>
      <c r="DA15" s="1616"/>
      <c r="DB15" s="1564" t="s">
        <v>1849</v>
      </c>
      <c r="DC15" s="1564"/>
      <c r="DD15" s="1564"/>
      <c r="FK15" s="537"/>
    </row>
    <row r="16" spans="2:167" s="179" customFormat="1" ht="15" customHeight="1">
      <c r="B16" s="1665" t="s">
        <v>1850</v>
      </c>
      <c r="C16" s="1665"/>
      <c r="D16" s="1665"/>
      <c r="E16" s="1665"/>
      <c r="F16" s="1665"/>
      <c r="G16" s="1665"/>
      <c r="H16" s="1665"/>
      <c r="I16" s="1665"/>
      <c r="J16" s="1665"/>
      <c r="K16" s="1665"/>
      <c r="L16" s="1665"/>
      <c r="M16" s="1665"/>
      <c r="N16" s="1665"/>
      <c r="O16" s="1665"/>
      <c r="P16" s="1665"/>
      <c r="Q16" s="1665"/>
      <c r="R16" s="1665"/>
      <c r="S16" s="1665"/>
      <c r="T16" s="1665"/>
      <c r="U16" s="1665"/>
      <c r="V16" s="1665"/>
      <c r="W16" s="1665"/>
      <c r="X16" s="1665"/>
      <c r="Y16" s="1665"/>
      <c r="Z16" s="1665"/>
      <c r="AA16" s="1665"/>
      <c r="AB16" s="1665"/>
      <c r="AC16" s="1665"/>
      <c r="AD16" s="1665"/>
      <c r="AE16" s="1665"/>
      <c r="AF16" s="1665"/>
      <c r="AG16" s="1665"/>
      <c r="AH16" s="1665"/>
      <c r="AI16" s="1665"/>
      <c r="AJ16" s="1665"/>
      <c r="AK16" s="1665"/>
      <c r="AL16" s="1665"/>
      <c r="AM16" s="1665"/>
      <c r="AN16" s="1665"/>
      <c r="AO16" s="1665"/>
      <c r="AP16" s="1665"/>
      <c r="AQ16" s="1665"/>
      <c r="AR16" s="1665"/>
      <c r="AS16" s="1665"/>
      <c r="AT16" s="1665"/>
      <c r="AU16" s="1665"/>
      <c r="AV16" s="1665"/>
      <c r="AW16" s="1665"/>
      <c r="AX16" s="1665"/>
      <c r="AY16" s="1665"/>
      <c r="AZ16" s="1665"/>
      <c r="BA16" s="1665"/>
      <c r="BB16" s="1665"/>
      <c r="BC16" s="1665"/>
      <c r="BD16" s="1665"/>
      <c r="BE16" s="1665"/>
      <c r="BF16" s="1665"/>
      <c r="BG16" s="1665"/>
      <c r="BH16" s="1665"/>
      <c r="BI16" s="1665"/>
      <c r="BJ16" s="1665"/>
      <c r="BK16" s="1665"/>
      <c r="BL16" s="1665"/>
      <c r="BM16" s="1665"/>
      <c r="BN16" s="1665"/>
      <c r="BO16" s="1665"/>
      <c r="BP16" s="1665"/>
      <c r="BQ16" s="1665"/>
      <c r="BR16" s="1665"/>
      <c r="BS16" s="1665"/>
      <c r="BT16" s="1665"/>
      <c r="BU16" s="1665"/>
      <c r="BV16" s="1665"/>
      <c r="BW16" s="1665"/>
      <c r="BX16" s="1665"/>
      <c r="BY16" s="1665"/>
      <c r="BZ16" s="1665"/>
      <c r="CA16" s="1665"/>
      <c r="CB16" s="1665"/>
      <c r="CC16" s="1665"/>
      <c r="CD16" s="1665"/>
      <c r="CE16" s="1665"/>
      <c r="CF16" s="1665"/>
      <c r="CG16" s="1665"/>
      <c r="CH16" s="1665"/>
      <c r="CI16" s="1665"/>
      <c r="CJ16" s="1665"/>
      <c r="CK16" s="1665"/>
      <c r="CL16" s="1665"/>
      <c r="CM16" s="1665"/>
      <c r="CN16" s="1665"/>
      <c r="CO16" s="1665"/>
      <c r="CP16" s="1665"/>
      <c r="CQ16" s="1665"/>
      <c r="CR16" s="1665"/>
      <c r="CS16" s="1665"/>
      <c r="CT16" s="1665"/>
      <c r="CU16" s="1665"/>
      <c r="CV16" s="1665"/>
      <c r="CW16" s="1665"/>
      <c r="CX16" s="1665"/>
      <c r="CY16" s="1665"/>
      <c r="CZ16" s="1665"/>
      <c r="DA16" s="1665"/>
      <c r="DB16" s="1665"/>
      <c r="DC16" s="1665"/>
      <c r="DD16" s="1665"/>
      <c r="DE16" s="1665"/>
      <c r="DF16" s="1665"/>
      <c r="DG16" s="1665"/>
      <c r="DH16" s="1665"/>
      <c r="DI16" s="1665"/>
      <c r="DJ16" s="1665"/>
      <c r="DK16" s="1665"/>
      <c r="DL16" s="1665"/>
      <c r="DM16" s="1665"/>
      <c r="DN16" s="1665"/>
      <c r="DO16" s="1665"/>
      <c r="DP16" s="1665"/>
      <c r="DQ16" s="1665"/>
      <c r="DR16" s="1665"/>
      <c r="DS16" s="1665"/>
      <c r="DT16" s="1665"/>
      <c r="DU16" s="1665"/>
      <c r="DV16" s="1665"/>
      <c r="DW16" s="1665"/>
      <c r="DX16" s="1665"/>
      <c r="DY16" s="1665"/>
      <c r="DZ16" s="1665"/>
      <c r="EA16" s="1665"/>
      <c r="EB16" s="1665"/>
      <c r="EC16" s="1665"/>
      <c r="ED16" s="1665"/>
      <c r="EE16" s="1665"/>
      <c r="EF16" s="1665"/>
      <c r="EG16" s="1665"/>
      <c r="EH16" s="1665"/>
      <c r="EI16" s="1665"/>
      <c r="EJ16" s="1665"/>
      <c r="EK16" s="1665"/>
      <c r="EL16" s="1665"/>
      <c r="EM16" s="1665"/>
      <c r="EN16" s="1665"/>
      <c r="EO16" s="1665"/>
      <c r="EP16" s="1665"/>
      <c r="EQ16" s="1665"/>
      <c r="ER16" s="1665"/>
      <c r="ES16" s="1665"/>
      <c r="ET16" s="1665"/>
      <c r="EU16" s="1665"/>
      <c r="EV16" s="1665"/>
      <c r="EW16" s="1665"/>
      <c r="EX16" s="1665"/>
    </row>
    <row r="17" spans="1:167" s="536" customFormat="1" ht="12" customHeight="1" thickBot="1">
      <c r="A17" s="180"/>
      <c r="C17" s="181"/>
      <c r="D17" s="181"/>
      <c r="E17" s="181"/>
      <c r="F17" s="181"/>
      <c r="G17" s="181"/>
      <c r="H17" s="181"/>
      <c r="I17" s="181"/>
      <c r="J17" s="181"/>
      <c r="K17" s="181"/>
      <c r="L17" s="181"/>
      <c r="M17" s="181"/>
      <c r="N17" s="181"/>
      <c r="O17" s="181"/>
      <c r="P17" s="181"/>
      <c r="Q17" s="181"/>
      <c r="R17" s="181"/>
      <c r="S17" s="181"/>
      <c r="T17" s="181"/>
      <c r="U17" s="181"/>
      <c r="V17" s="181"/>
      <c r="W17" s="181"/>
      <c r="X17" s="181"/>
      <c r="Y17" s="181"/>
      <c r="Z17" s="181"/>
      <c r="AA17" s="181"/>
      <c r="AB17" s="181"/>
      <c r="AC17" s="181"/>
      <c r="AD17" s="181"/>
      <c r="AE17" s="181"/>
      <c r="AF17" s="181"/>
      <c r="AG17" s="181"/>
      <c r="AH17" s="181"/>
      <c r="AI17" s="181"/>
      <c r="AJ17" s="181"/>
      <c r="AK17" s="181"/>
      <c r="AL17" s="181"/>
      <c r="AM17" s="181"/>
      <c r="AN17" s="181"/>
      <c r="AO17" s="181"/>
      <c r="AP17" s="181"/>
      <c r="AQ17" s="181"/>
      <c r="AR17" s="181"/>
      <c r="AS17" s="181"/>
      <c r="AT17" s="181"/>
      <c r="AU17" s="181"/>
      <c r="AV17" s="181"/>
      <c r="AW17" s="181"/>
      <c r="AX17" s="181"/>
      <c r="AY17" s="181"/>
      <c r="AZ17" s="181"/>
      <c r="BA17" s="181"/>
      <c r="BB17" s="181"/>
      <c r="BC17" s="181"/>
      <c r="BD17" s="181"/>
      <c r="BE17" s="181"/>
      <c r="BF17" s="181"/>
      <c r="BG17" s="181"/>
      <c r="BH17" s="181"/>
      <c r="BI17" s="181"/>
      <c r="BJ17" s="181"/>
      <c r="BK17" s="181"/>
      <c r="BL17" s="181"/>
      <c r="BM17" s="181"/>
      <c r="BN17" s="181"/>
      <c r="BO17" s="181"/>
      <c r="BP17" s="181"/>
      <c r="BQ17" s="181"/>
      <c r="BR17" s="181"/>
      <c r="BS17" s="181"/>
      <c r="BT17" s="181"/>
      <c r="BU17" s="181"/>
      <c r="BV17" s="181"/>
      <c r="BW17" s="181"/>
      <c r="BX17" s="181"/>
      <c r="BY17" s="181"/>
      <c r="BZ17" s="181"/>
      <c r="CA17" s="181"/>
      <c r="CB17" s="181"/>
      <c r="CC17" s="181"/>
      <c r="CD17" s="181"/>
      <c r="CE17" s="181"/>
      <c r="CF17" s="181"/>
      <c r="CG17" s="181"/>
      <c r="CH17" s="181"/>
      <c r="CI17" s="181"/>
      <c r="CJ17" s="181"/>
      <c r="CK17" s="181"/>
      <c r="CL17" s="181"/>
      <c r="CM17" s="181"/>
      <c r="CN17" s="181"/>
      <c r="CO17" s="181"/>
      <c r="CP17" s="181"/>
      <c r="CQ17" s="181"/>
      <c r="CR17" s="181"/>
      <c r="CS17" s="181"/>
      <c r="CT17" s="181"/>
      <c r="CU17" s="181"/>
      <c r="CV17" s="181"/>
      <c r="CW17" s="181"/>
      <c r="CX17" s="181"/>
      <c r="CY17" s="181"/>
      <c r="CZ17" s="181"/>
      <c r="DA17" s="181"/>
      <c r="DB17" s="181"/>
      <c r="DC17" s="181"/>
      <c r="DD17" s="181"/>
      <c r="DE17" s="181"/>
      <c r="DF17" s="181"/>
      <c r="DG17" s="181"/>
      <c r="DH17" s="181"/>
      <c r="DI17" s="181"/>
      <c r="DJ17" s="181"/>
      <c r="DK17" s="181"/>
      <c r="DL17" s="181"/>
      <c r="DM17" s="181"/>
      <c r="DN17" s="181"/>
      <c r="DO17" s="181"/>
      <c r="DP17" s="181"/>
      <c r="DQ17" s="181"/>
      <c r="DR17" s="181"/>
      <c r="DS17" s="181"/>
      <c r="DT17" s="181"/>
      <c r="DU17" s="181"/>
      <c r="DV17" s="181"/>
      <c r="DW17" s="181"/>
      <c r="DX17" s="181"/>
      <c r="DY17" s="181"/>
      <c r="DZ17" s="181"/>
      <c r="EA17" s="181"/>
      <c r="EB17" s="181"/>
      <c r="EC17" s="181"/>
      <c r="ED17" s="181"/>
      <c r="EE17" s="181"/>
      <c r="EF17" s="181"/>
      <c r="EG17" s="181"/>
      <c r="EI17" s="181" t="s">
        <v>1006</v>
      </c>
      <c r="EJ17" s="1664"/>
      <c r="EK17" s="1664"/>
      <c r="EL17" s="1664"/>
      <c r="EM17" s="1664"/>
      <c r="EN17" s="182" t="s">
        <v>1851</v>
      </c>
      <c r="EO17" s="182"/>
      <c r="EP17" s="182"/>
      <c r="EQ17" s="182"/>
      <c r="EZ17" s="1666" t="s">
        <v>1852</v>
      </c>
      <c r="FA17" s="1667"/>
      <c r="FB17" s="1667"/>
      <c r="FC17" s="1667"/>
      <c r="FD17" s="1667"/>
      <c r="FE17" s="1667"/>
      <c r="FF17" s="1667"/>
      <c r="FG17" s="1667"/>
      <c r="FH17" s="1667"/>
      <c r="FI17" s="1667"/>
      <c r="FJ17" s="1667"/>
      <c r="FK17" s="1668"/>
    </row>
    <row r="18" spans="1:167" s="536" customFormat="1" ht="12" customHeight="1">
      <c r="EB18" s="182"/>
      <c r="EC18" s="182"/>
      <c r="ED18" s="182"/>
      <c r="EE18" s="182"/>
      <c r="EF18" s="183"/>
      <c r="EG18" s="183"/>
      <c r="EH18" s="184"/>
      <c r="EI18" s="184"/>
      <c r="EJ18" s="184"/>
      <c r="EK18" s="184"/>
      <c r="EL18" s="184"/>
      <c r="EM18" s="184"/>
      <c r="EN18" s="184"/>
      <c r="EO18" s="184"/>
      <c r="EP18" s="184"/>
      <c r="EQ18" s="184"/>
      <c r="ER18" s="185"/>
      <c r="ES18" s="185"/>
      <c r="ET18" s="185"/>
      <c r="EU18" s="185"/>
      <c r="EW18" s="184"/>
      <c r="EX18" s="185" t="s">
        <v>1853</v>
      </c>
      <c r="EZ18" s="1661" t="s">
        <v>1854</v>
      </c>
      <c r="FA18" s="1662"/>
      <c r="FB18" s="1662"/>
      <c r="FC18" s="1662"/>
      <c r="FD18" s="1662"/>
      <c r="FE18" s="1662"/>
      <c r="FF18" s="1662"/>
      <c r="FG18" s="1662"/>
      <c r="FH18" s="1662"/>
      <c r="FI18" s="1662"/>
      <c r="FJ18" s="1662"/>
      <c r="FK18" s="1663"/>
    </row>
    <row r="19" spans="1:167" s="536" customFormat="1" ht="10.5" customHeight="1">
      <c r="AQ19" s="537" t="s">
        <v>1855</v>
      </c>
      <c r="AR19" s="1597"/>
      <c r="AS19" s="1597"/>
      <c r="AT19" s="1597"/>
      <c r="AU19" s="1597"/>
      <c r="AV19" s="1597"/>
      <c r="AW19" s="1564" t="s">
        <v>1848</v>
      </c>
      <c r="AX19" s="1564"/>
      <c r="AY19" s="1597"/>
      <c r="AZ19" s="1597"/>
      <c r="BA19" s="1597"/>
      <c r="BB19" s="1597"/>
      <c r="BC19" s="1597"/>
      <c r="BD19" s="1597"/>
      <c r="BE19" s="1597"/>
      <c r="BF19" s="1597"/>
      <c r="BG19" s="1597"/>
      <c r="BH19" s="1597"/>
      <c r="BI19" s="1597"/>
      <c r="BJ19" s="1597"/>
      <c r="BK19" s="1597"/>
      <c r="BL19" s="1597"/>
      <c r="BM19" s="1597"/>
      <c r="BN19" s="1597"/>
      <c r="BO19" s="1597"/>
      <c r="BP19" s="1597"/>
      <c r="BQ19" s="1597"/>
      <c r="BR19" s="1597"/>
      <c r="BS19" s="1597"/>
      <c r="BT19" s="1597"/>
      <c r="BU19" s="1597"/>
      <c r="BV19" s="1598">
        <v>20</v>
      </c>
      <c r="BW19" s="1598"/>
      <c r="BX19" s="1598"/>
      <c r="BY19" s="1598"/>
      <c r="BZ19" s="1616"/>
      <c r="CA19" s="1616"/>
      <c r="CB19" s="1616"/>
      <c r="CC19" s="1564" t="s">
        <v>1849</v>
      </c>
      <c r="CD19" s="1564"/>
      <c r="CE19" s="1564"/>
      <c r="ER19" s="537"/>
      <c r="ES19" s="537"/>
      <c r="ET19" s="537"/>
      <c r="EU19" s="537"/>
      <c r="EX19" s="537" t="s">
        <v>1856</v>
      </c>
      <c r="EZ19" s="1556"/>
      <c r="FA19" s="1557"/>
      <c r="FB19" s="1557"/>
      <c r="FC19" s="1557"/>
      <c r="FD19" s="1557"/>
      <c r="FE19" s="1557"/>
      <c r="FF19" s="1557"/>
      <c r="FG19" s="1557"/>
      <c r="FH19" s="1557"/>
      <c r="FI19" s="1557"/>
      <c r="FJ19" s="1557"/>
      <c r="FK19" s="1558"/>
    </row>
    <row r="20" spans="1:167" s="536" customFormat="1" ht="10.5" customHeight="1">
      <c r="A20" s="536" t="s">
        <v>1005</v>
      </c>
      <c r="AO20" s="1656"/>
      <c r="AP20" s="1656"/>
      <c r="AQ20" s="1656"/>
      <c r="AR20" s="1656"/>
      <c r="AS20" s="1656"/>
      <c r="AT20" s="1656"/>
      <c r="AU20" s="1656"/>
      <c r="AV20" s="1656"/>
      <c r="AW20" s="1656"/>
      <c r="AX20" s="1656"/>
      <c r="AY20" s="1656"/>
      <c r="AZ20" s="1656"/>
      <c r="BA20" s="1656"/>
      <c r="BB20" s="1656"/>
      <c r="BC20" s="1656"/>
      <c r="BD20" s="1656"/>
      <c r="BE20" s="1656"/>
      <c r="BF20" s="1656"/>
      <c r="BG20" s="1656"/>
      <c r="BH20" s="1656"/>
      <c r="BI20" s="1656"/>
      <c r="BJ20" s="1656"/>
      <c r="BK20" s="1656"/>
      <c r="BL20" s="1656"/>
      <c r="BM20" s="1656"/>
      <c r="BN20" s="1656"/>
      <c r="BO20" s="1656"/>
      <c r="BP20" s="1656"/>
      <c r="BQ20" s="1656"/>
      <c r="BR20" s="1656"/>
      <c r="BS20" s="1656"/>
      <c r="BT20" s="1656"/>
      <c r="BU20" s="1656"/>
      <c r="BV20" s="1656"/>
      <c r="BW20" s="1656"/>
      <c r="BX20" s="1656"/>
      <c r="BY20" s="1656"/>
      <c r="BZ20" s="1656"/>
      <c r="CA20" s="1656"/>
      <c r="CB20" s="1656"/>
      <c r="CC20" s="1656"/>
      <c r="CD20" s="1656"/>
      <c r="CE20" s="1656"/>
      <c r="CF20" s="1656"/>
      <c r="CG20" s="1656"/>
      <c r="CH20" s="1656"/>
      <c r="CI20" s="1656"/>
      <c r="CJ20" s="1656"/>
      <c r="CK20" s="1656"/>
      <c r="CL20" s="1656"/>
      <c r="CM20" s="1656"/>
      <c r="CN20" s="1656"/>
      <c r="CO20" s="1656"/>
      <c r="CP20" s="1656"/>
      <c r="CQ20" s="1656"/>
      <c r="CR20" s="1656"/>
      <c r="CS20" s="1656"/>
      <c r="CT20" s="1656"/>
      <c r="CU20" s="1656"/>
      <c r="CV20" s="1656"/>
      <c r="CW20" s="1656"/>
      <c r="CX20" s="1656"/>
      <c r="CY20" s="1656"/>
      <c r="CZ20" s="1656"/>
      <c r="DA20" s="1656"/>
      <c r="DB20" s="1656"/>
      <c r="DC20" s="1656"/>
      <c r="DD20" s="1656"/>
      <c r="DE20" s="1656"/>
      <c r="DF20" s="1656"/>
      <c r="DG20" s="1656"/>
      <c r="DH20" s="1656"/>
      <c r="DI20" s="1656"/>
      <c r="DJ20" s="1656"/>
      <c r="DK20" s="1656"/>
      <c r="DL20" s="1656"/>
      <c r="DM20" s="1656"/>
      <c r="DN20" s="1656"/>
      <c r="DO20" s="1656"/>
      <c r="DP20" s="1656"/>
      <c r="DQ20" s="1656"/>
      <c r="DR20" s="1656"/>
      <c r="DS20" s="1656"/>
      <c r="DT20" s="1656"/>
      <c r="DU20" s="1656"/>
      <c r="DV20" s="1656"/>
      <c r="DW20" s="1656"/>
      <c r="DX20" s="1656"/>
      <c r="DY20" s="1656"/>
      <c r="DZ20" s="1656"/>
      <c r="EA20" s="1656"/>
      <c r="EB20" s="1656"/>
      <c r="EC20" s="1656"/>
      <c r="ED20" s="1656"/>
      <c r="EE20" s="1656"/>
      <c r="EF20" s="1656"/>
      <c r="EG20" s="1656"/>
      <c r="EH20" s="1656"/>
      <c r="EI20" s="1656"/>
      <c r="EJ20" s="1656"/>
      <c r="EK20" s="1656"/>
      <c r="EL20" s="1656"/>
      <c r="ER20" s="537"/>
      <c r="ES20" s="537"/>
      <c r="ET20" s="537"/>
      <c r="EU20" s="537"/>
      <c r="EX20" s="537"/>
      <c r="EZ20" s="1633"/>
      <c r="FA20" s="1634"/>
      <c r="FB20" s="1634"/>
      <c r="FC20" s="1634"/>
      <c r="FD20" s="1634"/>
      <c r="FE20" s="1634"/>
      <c r="FF20" s="1634"/>
      <c r="FG20" s="1634"/>
      <c r="FH20" s="1634"/>
      <c r="FI20" s="1634"/>
      <c r="FJ20" s="1634"/>
      <c r="FK20" s="1635"/>
    </row>
    <row r="21" spans="1:167" s="536" customFormat="1" ht="10.5" customHeight="1">
      <c r="A21" s="536" t="s">
        <v>1857</v>
      </c>
      <c r="B21" s="186"/>
      <c r="C21" s="186"/>
      <c r="D21" s="186"/>
      <c r="E21" s="186"/>
      <c r="F21" s="186"/>
      <c r="G21" s="186"/>
      <c r="H21" s="186"/>
      <c r="I21" s="186"/>
      <c r="J21" s="186"/>
      <c r="K21" s="186"/>
      <c r="L21" s="186"/>
      <c r="M21" s="186"/>
      <c r="N21" s="186"/>
      <c r="O21" s="186"/>
      <c r="P21" s="186"/>
      <c r="Q21" s="186"/>
      <c r="R21" s="186"/>
      <c r="S21" s="186"/>
      <c r="T21" s="186"/>
      <c r="U21" s="186"/>
      <c r="V21" s="186"/>
      <c r="W21" s="186"/>
      <c r="X21" s="186"/>
      <c r="Y21" s="186"/>
      <c r="Z21" s="186"/>
      <c r="AA21" s="186"/>
      <c r="AB21" s="186"/>
      <c r="AC21" s="186"/>
      <c r="AD21" s="186"/>
      <c r="AE21" s="186"/>
      <c r="AF21" s="186"/>
      <c r="AG21" s="186"/>
      <c r="AH21" s="186"/>
      <c r="AI21" s="186"/>
      <c r="AJ21" s="186"/>
      <c r="AK21" s="186"/>
      <c r="AL21" s="186"/>
      <c r="AO21" s="1657"/>
      <c r="AP21" s="1657"/>
      <c r="AQ21" s="1657"/>
      <c r="AR21" s="1657"/>
      <c r="AS21" s="1657"/>
      <c r="AT21" s="1657"/>
      <c r="AU21" s="1657"/>
      <c r="AV21" s="1657"/>
      <c r="AW21" s="1657"/>
      <c r="AX21" s="1657"/>
      <c r="AY21" s="1657"/>
      <c r="AZ21" s="1657"/>
      <c r="BA21" s="1657"/>
      <c r="BB21" s="1657"/>
      <c r="BC21" s="1657"/>
      <c r="BD21" s="1657"/>
      <c r="BE21" s="1657"/>
      <c r="BF21" s="1657"/>
      <c r="BG21" s="1657"/>
      <c r="BH21" s="1657"/>
      <c r="BI21" s="1657"/>
      <c r="BJ21" s="1657"/>
      <c r="BK21" s="1657"/>
      <c r="BL21" s="1657"/>
      <c r="BM21" s="1657"/>
      <c r="BN21" s="1657"/>
      <c r="BO21" s="1657"/>
      <c r="BP21" s="1657"/>
      <c r="BQ21" s="1657"/>
      <c r="BR21" s="1657"/>
      <c r="BS21" s="1657"/>
      <c r="BT21" s="1657"/>
      <c r="BU21" s="1657"/>
      <c r="BV21" s="1657"/>
      <c r="BW21" s="1657"/>
      <c r="BX21" s="1657"/>
      <c r="BY21" s="1657"/>
      <c r="BZ21" s="1657"/>
      <c r="CA21" s="1657"/>
      <c r="CB21" s="1657"/>
      <c r="CC21" s="1657"/>
      <c r="CD21" s="1657"/>
      <c r="CE21" s="1657"/>
      <c r="CF21" s="1657"/>
      <c r="CG21" s="1657"/>
      <c r="CH21" s="1657"/>
      <c r="CI21" s="1657"/>
      <c r="CJ21" s="1657"/>
      <c r="CK21" s="1657"/>
      <c r="CL21" s="1657"/>
      <c r="CM21" s="1657"/>
      <c r="CN21" s="1657"/>
      <c r="CO21" s="1657"/>
      <c r="CP21" s="1657"/>
      <c r="CQ21" s="1657"/>
      <c r="CR21" s="1657"/>
      <c r="CS21" s="1657"/>
      <c r="CT21" s="1657"/>
      <c r="CU21" s="1657"/>
      <c r="CV21" s="1657"/>
      <c r="CW21" s="1657"/>
      <c r="CX21" s="1657"/>
      <c r="CY21" s="1657"/>
      <c r="CZ21" s="1657"/>
      <c r="DA21" s="1657"/>
      <c r="DB21" s="1657"/>
      <c r="DC21" s="1657"/>
      <c r="DD21" s="1657"/>
      <c r="DE21" s="1657"/>
      <c r="DF21" s="1657"/>
      <c r="DG21" s="1657"/>
      <c r="DH21" s="1657"/>
      <c r="DI21" s="1657"/>
      <c r="DJ21" s="1657"/>
      <c r="DK21" s="1657"/>
      <c r="DL21" s="1657"/>
      <c r="DM21" s="1657"/>
      <c r="DN21" s="1657"/>
      <c r="DO21" s="1657"/>
      <c r="DP21" s="1657"/>
      <c r="DQ21" s="1657"/>
      <c r="DR21" s="1657"/>
      <c r="DS21" s="1657"/>
      <c r="DT21" s="1657"/>
      <c r="DU21" s="1657"/>
      <c r="DV21" s="1657"/>
      <c r="DW21" s="1657"/>
      <c r="DX21" s="1657"/>
      <c r="DY21" s="1657"/>
      <c r="DZ21" s="1657"/>
      <c r="EA21" s="1657"/>
      <c r="EB21" s="1657"/>
      <c r="EC21" s="1657"/>
      <c r="ED21" s="1657"/>
      <c r="EE21" s="1657"/>
      <c r="EF21" s="1657"/>
      <c r="EG21" s="1657"/>
      <c r="EH21" s="1657"/>
      <c r="EI21" s="1657"/>
      <c r="EJ21" s="1657"/>
      <c r="EK21" s="1657"/>
      <c r="EL21" s="1657"/>
      <c r="ER21" s="537"/>
      <c r="ES21" s="537"/>
      <c r="ET21" s="537"/>
      <c r="EU21" s="537"/>
      <c r="EX21" s="537" t="s">
        <v>1858</v>
      </c>
      <c r="EZ21" s="1636"/>
      <c r="FA21" s="1597"/>
      <c r="FB21" s="1597"/>
      <c r="FC21" s="1597"/>
      <c r="FD21" s="1597"/>
      <c r="FE21" s="1597"/>
      <c r="FF21" s="1597"/>
      <c r="FG21" s="1597"/>
      <c r="FH21" s="1597"/>
      <c r="FI21" s="1597"/>
      <c r="FJ21" s="1597"/>
      <c r="FK21" s="1637"/>
    </row>
    <row r="22" spans="1:167" s="536" customFormat="1" ht="3" customHeight="1" thickBot="1">
      <c r="A22" s="186"/>
      <c r="B22" s="186"/>
      <c r="C22" s="186"/>
      <c r="D22" s="186"/>
      <c r="E22" s="186"/>
      <c r="F22" s="186"/>
      <c r="G22" s="186"/>
      <c r="H22" s="186"/>
      <c r="I22" s="186"/>
      <c r="J22" s="186"/>
      <c r="K22" s="186"/>
      <c r="L22" s="186"/>
      <c r="M22" s="186"/>
      <c r="N22" s="186"/>
      <c r="O22" s="186"/>
      <c r="P22" s="186"/>
      <c r="Q22" s="186"/>
      <c r="R22" s="186"/>
      <c r="S22" s="186"/>
      <c r="T22" s="186"/>
      <c r="U22" s="186"/>
      <c r="V22" s="186"/>
      <c r="W22" s="186"/>
      <c r="X22" s="186"/>
      <c r="Y22" s="186"/>
      <c r="Z22" s="186"/>
      <c r="AA22" s="186"/>
      <c r="AB22" s="186"/>
      <c r="AC22" s="186"/>
      <c r="AD22" s="186"/>
      <c r="AE22" s="186"/>
      <c r="AF22" s="186"/>
      <c r="AG22" s="186"/>
      <c r="AH22" s="186"/>
      <c r="AI22" s="186"/>
      <c r="AJ22" s="186"/>
      <c r="AK22" s="186"/>
      <c r="AL22" s="186"/>
      <c r="AM22" s="186"/>
      <c r="AN22" s="186"/>
      <c r="AO22" s="186"/>
      <c r="AP22" s="186"/>
      <c r="AQ22" s="186"/>
      <c r="AR22" s="186"/>
      <c r="AX22" s="186"/>
      <c r="AY22" s="186"/>
      <c r="AZ22" s="186"/>
      <c r="BA22" s="186"/>
      <c r="BB22" s="186"/>
      <c r="BC22" s="186"/>
      <c r="BD22" s="186"/>
      <c r="BE22" s="186"/>
      <c r="BF22" s="186"/>
      <c r="BG22" s="186"/>
      <c r="BH22" s="186"/>
      <c r="BI22" s="186"/>
      <c r="BJ22" s="186"/>
      <c r="BK22" s="186"/>
      <c r="BL22" s="186"/>
      <c r="BM22" s="186"/>
      <c r="BN22" s="186"/>
      <c r="BO22" s="186"/>
      <c r="BP22" s="186"/>
      <c r="BQ22" s="186"/>
      <c r="BR22" s="186"/>
      <c r="BS22" s="186"/>
      <c r="BT22" s="186"/>
      <c r="BU22" s="186"/>
      <c r="BV22" s="186"/>
      <c r="BW22" s="186"/>
      <c r="BX22" s="186"/>
      <c r="BY22" s="186"/>
      <c r="BZ22" s="186"/>
      <c r="CA22" s="186"/>
      <c r="CB22" s="186"/>
      <c r="CC22" s="186"/>
      <c r="CD22" s="186"/>
      <c r="CE22" s="186"/>
      <c r="CF22" s="186"/>
      <c r="CG22" s="186"/>
      <c r="CH22" s="186"/>
      <c r="CI22" s="186"/>
      <c r="CJ22" s="186"/>
      <c r="CK22" s="186"/>
      <c r="CL22" s="186"/>
      <c r="CM22" s="186"/>
      <c r="CN22" s="186"/>
      <c r="CO22" s="186"/>
      <c r="CP22" s="186"/>
      <c r="CQ22" s="186"/>
      <c r="CR22" s="186"/>
      <c r="CS22" s="186"/>
      <c r="CT22" s="186"/>
      <c r="CU22" s="186"/>
      <c r="CV22" s="186"/>
      <c r="CW22" s="186"/>
      <c r="CX22" s="186"/>
      <c r="CY22" s="186"/>
      <c r="CZ22" s="186"/>
      <c r="DA22" s="186"/>
      <c r="DB22" s="186"/>
      <c r="DC22" s="186"/>
      <c r="DD22" s="186"/>
      <c r="DE22" s="186"/>
      <c r="DF22" s="186"/>
      <c r="DG22" s="186"/>
      <c r="DH22" s="186"/>
      <c r="DI22" s="186"/>
      <c r="DJ22" s="186"/>
      <c r="DK22" s="186"/>
      <c r="DL22" s="186"/>
      <c r="DM22" s="186"/>
      <c r="DN22" s="186"/>
      <c r="DO22" s="186"/>
      <c r="DP22" s="186"/>
      <c r="DQ22" s="186"/>
      <c r="DR22" s="186"/>
      <c r="DS22" s="186"/>
      <c r="DT22" s="186"/>
      <c r="DU22" s="186"/>
      <c r="DV22" s="186"/>
      <c r="DW22" s="186"/>
      <c r="DX22" s="186"/>
      <c r="DY22" s="186"/>
      <c r="DZ22" s="186"/>
      <c r="EA22" s="186"/>
      <c r="EB22" s="186"/>
      <c r="EC22" s="186"/>
      <c r="ED22" s="186"/>
      <c r="EE22" s="186"/>
      <c r="EF22" s="186"/>
      <c r="EG22" s="186"/>
      <c r="EH22" s="186"/>
      <c r="EI22" s="186"/>
      <c r="ER22" s="537"/>
      <c r="ES22" s="537"/>
      <c r="ET22" s="537"/>
      <c r="EU22" s="537"/>
      <c r="EX22" s="537"/>
      <c r="EZ22" s="1633"/>
      <c r="FA22" s="1634"/>
      <c r="FB22" s="1634"/>
      <c r="FC22" s="1634"/>
      <c r="FD22" s="1634"/>
      <c r="FE22" s="1634"/>
      <c r="FF22" s="1634"/>
      <c r="FG22" s="1634"/>
      <c r="FH22" s="1634"/>
      <c r="FI22" s="1634"/>
      <c r="FJ22" s="1634"/>
      <c r="FK22" s="1635"/>
    </row>
    <row r="23" spans="1:167" s="536" customFormat="1" ht="10.5" customHeight="1">
      <c r="A23" s="186"/>
      <c r="B23" s="186"/>
      <c r="C23" s="186"/>
      <c r="D23" s="186"/>
      <c r="E23" s="186"/>
      <c r="F23" s="186"/>
      <c r="G23" s="186"/>
      <c r="H23" s="186"/>
      <c r="I23" s="186"/>
      <c r="J23" s="186"/>
      <c r="K23" s="186"/>
      <c r="L23" s="186"/>
      <c r="M23" s="186"/>
      <c r="N23" s="186"/>
      <c r="O23" s="186"/>
      <c r="P23" s="186"/>
      <c r="Q23" s="186"/>
      <c r="R23" s="186"/>
      <c r="S23" s="186"/>
      <c r="T23" s="186"/>
      <c r="U23" s="186"/>
      <c r="V23" s="186"/>
      <c r="W23" s="186"/>
      <c r="X23" s="186"/>
      <c r="Y23" s="186"/>
      <c r="Z23" s="186"/>
      <c r="AA23" s="186"/>
      <c r="AB23" s="186"/>
      <c r="AC23" s="186"/>
      <c r="AD23" s="186"/>
      <c r="AE23" s="186"/>
      <c r="AF23" s="186"/>
      <c r="AG23" s="186"/>
      <c r="AH23" s="186"/>
      <c r="AI23" s="186"/>
      <c r="AJ23" s="186"/>
      <c r="AK23" s="186"/>
      <c r="AL23" s="186"/>
      <c r="AN23" s="186"/>
      <c r="AO23" s="187" t="s">
        <v>1859</v>
      </c>
      <c r="AP23" s="186"/>
      <c r="AQ23" s="186"/>
      <c r="AR23" s="186"/>
      <c r="AY23" s="1650"/>
      <c r="AZ23" s="1651"/>
      <c r="BA23" s="1651"/>
      <c r="BB23" s="1651"/>
      <c r="BC23" s="1651"/>
      <c r="BD23" s="1651"/>
      <c r="BE23" s="1651"/>
      <c r="BF23" s="1651"/>
      <c r="BG23" s="1651"/>
      <c r="BH23" s="1651"/>
      <c r="BI23" s="1651"/>
      <c r="BJ23" s="1651"/>
      <c r="BK23" s="1651"/>
      <c r="BL23" s="1651"/>
      <c r="BM23" s="1651"/>
      <c r="BN23" s="1651"/>
      <c r="BO23" s="1651"/>
      <c r="BP23" s="1651"/>
      <c r="BQ23" s="1651"/>
      <c r="BR23" s="1651"/>
      <c r="BS23" s="1651"/>
      <c r="BT23" s="1651"/>
      <c r="BU23" s="1651"/>
      <c r="BV23" s="1651"/>
      <c r="BW23" s="1651"/>
      <c r="BX23" s="1651"/>
      <c r="BY23" s="1651"/>
      <c r="BZ23" s="1652"/>
      <c r="DK23" s="186"/>
      <c r="DL23" s="186"/>
      <c r="DM23" s="186"/>
      <c r="DN23" s="186"/>
      <c r="DO23" s="186"/>
      <c r="DP23" s="186"/>
      <c r="DQ23" s="186"/>
      <c r="DR23" s="186"/>
      <c r="DS23" s="186"/>
      <c r="DT23" s="186"/>
      <c r="DU23" s="186"/>
      <c r="DV23" s="186"/>
      <c r="DW23" s="186"/>
      <c r="DX23" s="186"/>
      <c r="DY23" s="186"/>
      <c r="DZ23" s="186"/>
      <c r="EA23" s="186"/>
      <c r="EB23" s="186"/>
      <c r="EC23" s="186"/>
      <c r="ED23" s="186"/>
      <c r="EE23" s="186"/>
      <c r="EF23" s="186"/>
      <c r="EG23" s="186"/>
      <c r="EH23" s="186"/>
      <c r="EI23" s="186"/>
      <c r="ER23" s="537"/>
      <c r="ES23" s="537"/>
      <c r="ET23" s="537"/>
      <c r="EU23" s="537"/>
      <c r="EX23" s="537" t="s">
        <v>1860</v>
      </c>
      <c r="EZ23" s="1658"/>
      <c r="FA23" s="1659"/>
      <c r="FB23" s="1659"/>
      <c r="FC23" s="1659"/>
      <c r="FD23" s="1659"/>
      <c r="FE23" s="1659"/>
      <c r="FF23" s="1659"/>
      <c r="FG23" s="1659"/>
      <c r="FH23" s="1659"/>
      <c r="FI23" s="1659"/>
      <c r="FJ23" s="1659"/>
      <c r="FK23" s="1660"/>
    </row>
    <row r="24" spans="1:167" s="536" customFormat="1" ht="3" customHeight="1" thickBot="1">
      <c r="A24" s="186"/>
      <c r="B24" s="186"/>
      <c r="C24" s="186"/>
      <c r="D24" s="186"/>
      <c r="E24" s="186"/>
      <c r="F24" s="186"/>
      <c r="G24" s="186"/>
      <c r="H24" s="186"/>
      <c r="I24" s="186"/>
      <c r="J24" s="186"/>
      <c r="K24" s="186"/>
      <c r="L24" s="186"/>
      <c r="M24" s="186"/>
      <c r="N24" s="186"/>
      <c r="O24" s="186"/>
      <c r="P24" s="186"/>
      <c r="Q24" s="186"/>
      <c r="R24" s="186"/>
      <c r="S24" s="186"/>
      <c r="T24" s="186"/>
      <c r="U24" s="186"/>
      <c r="V24" s="186"/>
      <c r="W24" s="186"/>
      <c r="X24" s="186"/>
      <c r="Y24" s="186"/>
      <c r="Z24" s="186"/>
      <c r="AA24" s="186"/>
      <c r="AB24" s="186"/>
      <c r="AC24" s="186"/>
      <c r="AD24" s="186"/>
      <c r="AE24" s="186"/>
      <c r="AF24" s="186"/>
      <c r="AG24" s="186"/>
      <c r="AH24" s="186"/>
      <c r="AI24" s="186"/>
      <c r="AJ24" s="186"/>
      <c r="AK24" s="186"/>
      <c r="AL24" s="186"/>
      <c r="AM24" s="186"/>
      <c r="AN24" s="186"/>
      <c r="AO24" s="186"/>
      <c r="AP24" s="186"/>
      <c r="AQ24" s="186"/>
      <c r="AR24" s="186"/>
      <c r="AY24" s="1653"/>
      <c r="AZ24" s="1654"/>
      <c r="BA24" s="1654"/>
      <c r="BB24" s="1654"/>
      <c r="BC24" s="1654"/>
      <c r="BD24" s="1654"/>
      <c r="BE24" s="1654"/>
      <c r="BF24" s="1654"/>
      <c r="BG24" s="1654"/>
      <c r="BH24" s="1654"/>
      <c r="BI24" s="1654"/>
      <c r="BJ24" s="1654"/>
      <c r="BK24" s="1654"/>
      <c r="BL24" s="1654"/>
      <c r="BM24" s="1654"/>
      <c r="BN24" s="1654"/>
      <c r="BO24" s="1654"/>
      <c r="BP24" s="1654"/>
      <c r="BQ24" s="1654"/>
      <c r="BR24" s="1654"/>
      <c r="BS24" s="1654"/>
      <c r="BT24" s="1654"/>
      <c r="BU24" s="1654"/>
      <c r="BV24" s="1654"/>
      <c r="BW24" s="1654"/>
      <c r="BX24" s="1654"/>
      <c r="BY24" s="1654"/>
      <c r="BZ24" s="1655"/>
      <c r="DK24" s="186"/>
      <c r="DL24" s="186"/>
      <c r="DM24" s="186"/>
      <c r="DN24" s="186"/>
      <c r="DO24" s="186"/>
      <c r="DP24" s="186"/>
      <c r="DQ24" s="186"/>
      <c r="DR24" s="186"/>
      <c r="DS24" s="186"/>
      <c r="DT24" s="186"/>
      <c r="DU24" s="186"/>
      <c r="DV24" s="186"/>
      <c r="DW24" s="186"/>
      <c r="DX24" s="186"/>
      <c r="DY24" s="186"/>
      <c r="DZ24" s="186"/>
      <c r="EA24" s="186"/>
      <c r="EB24" s="186"/>
      <c r="EC24" s="186"/>
      <c r="ED24" s="186"/>
      <c r="EE24" s="186"/>
      <c r="EF24" s="186"/>
      <c r="EG24" s="186"/>
      <c r="EH24" s="186"/>
      <c r="EI24" s="186"/>
      <c r="ER24" s="537"/>
      <c r="ES24" s="537"/>
      <c r="ET24" s="537"/>
      <c r="EU24" s="537"/>
      <c r="EX24" s="537"/>
      <c r="EZ24" s="1636"/>
      <c r="FA24" s="1597"/>
      <c r="FB24" s="1597"/>
      <c r="FC24" s="1597"/>
      <c r="FD24" s="1597"/>
      <c r="FE24" s="1597"/>
      <c r="FF24" s="1597"/>
      <c r="FG24" s="1597"/>
      <c r="FH24" s="1597"/>
      <c r="FI24" s="1597"/>
      <c r="FJ24" s="1597"/>
      <c r="FK24" s="1637"/>
    </row>
    <row r="25" spans="1:167" s="536" customFormat="1" ht="10.5" customHeight="1">
      <c r="A25" s="536" t="s">
        <v>1861</v>
      </c>
      <c r="B25" s="186"/>
      <c r="C25" s="186"/>
      <c r="D25" s="186"/>
      <c r="E25" s="186"/>
      <c r="F25" s="186"/>
      <c r="G25" s="186"/>
      <c r="H25" s="186"/>
      <c r="I25" s="186"/>
      <c r="J25" s="186"/>
      <c r="K25" s="186"/>
      <c r="L25" s="186"/>
      <c r="M25" s="186"/>
      <c r="N25" s="186"/>
      <c r="O25" s="186"/>
      <c r="P25" s="186"/>
      <c r="Q25" s="186"/>
      <c r="R25" s="186"/>
      <c r="S25" s="186"/>
      <c r="T25" s="186"/>
      <c r="U25" s="186"/>
      <c r="V25" s="186"/>
      <c r="W25" s="186"/>
      <c r="X25" s="186"/>
      <c r="Y25" s="186"/>
      <c r="Z25" s="186"/>
      <c r="AA25" s="186"/>
      <c r="AB25" s="186"/>
      <c r="AC25" s="186"/>
      <c r="AD25" s="186"/>
      <c r="AE25" s="186"/>
      <c r="AO25" s="1573"/>
      <c r="AP25" s="1573"/>
      <c r="AQ25" s="1573"/>
      <c r="AR25" s="1573"/>
      <c r="AS25" s="1573"/>
      <c r="AT25" s="1573"/>
      <c r="AU25" s="1573"/>
      <c r="AV25" s="1573"/>
      <c r="AW25" s="1573"/>
      <c r="AX25" s="1573"/>
      <c r="AY25" s="1573"/>
      <c r="AZ25" s="1573"/>
      <c r="BA25" s="1573"/>
      <c r="BB25" s="1573"/>
      <c r="BC25" s="1573"/>
      <c r="BD25" s="1573"/>
      <c r="BE25" s="1573"/>
      <c r="BF25" s="1573"/>
      <c r="BG25" s="1573"/>
      <c r="BH25" s="1573"/>
      <c r="BI25" s="1573"/>
      <c r="BJ25" s="1573"/>
      <c r="BK25" s="1573"/>
      <c r="BL25" s="1573"/>
      <c r="BM25" s="1573"/>
      <c r="BN25" s="1573"/>
      <c r="BO25" s="1573"/>
      <c r="BP25" s="1573"/>
      <c r="BQ25" s="1573"/>
      <c r="BR25" s="1573"/>
      <c r="BS25" s="1573"/>
      <c r="BT25" s="1573"/>
      <c r="BU25" s="1573"/>
      <c r="BV25" s="1573"/>
      <c r="BW25" s="1573"/>
      <c r="BX25" s="1573"/>
      <c r="BY25" s="1573"/>
      <c r="BZ25" s="1573"/>
      <c r="CA25" s="1573"/>
      <c r="CB25" s="1573"/>
      <c r="CC25" s="1573"/>
      <c r="CD25" s="1573"/>
      <c r="CE25" s="1573"/>
      <c r="CF25" s="1573"/>
      <c r="CG25" s="1573"/>
      <c r="CH25" s="1573"/>
      <c r="CI25" s="1573"/>
      <c r="CJ25" s="1573"/>
      <c r="CK25" s="1573"/>
      <c r="CL25" s="1573"/>
      <c r="CM25" s="1573"/>
      <c r="CN25" s="1573"/>
      <c r="CO25" s="1573"/>
      <c r="CP25" s="1573"/>
      <c r="CQ25" s="1573"/>
      <c r="CR25" s="1573"/>
      <c r="CS25" s="1573"/>
      <c r="CT25" s="1573"/>
      <c r="CU25" s="1573"/>
      <c r="CV25" s="1573"/>
      <c r="CW25" s="1573"/>
      <c r="CX25" s="1573"/>
      <c r="CY25" s="1573"/>
      <c r="CZ25" s="1573"/>
      <c r="DA25" s="1573"/>
      <c r="DB25" s="1573"/>
      <c r="DC25" s="1573"/>
      <c r="DD25" s="1573"/>
      <c r="DE25" s="1573"/>
      <c r="DF25" s="1573"/>
      <c r="DG25" s="1573"/>
      <c r="DH25" s="1573"/>
      <c r="DI25" s="1573"/>
      <c r="DJ25" s="1573"/>
      <c r="DK25" s="1573"/>
      <c r="DL25" s="1573"/>
      <c r="DM25" s="1573"/>
      <c r="DN25" s="1573"/>
      <c r="DO25" s="1573"/>
      <c r="DP25" s="1573"/>
      <c r="DQ25" s="1573"/>
      <c r="DR25" s="1573"/>
      <c r="DS25" s="1573"/>
      <c r="DT25" s="1573"/>
      <c r="DU25" s="1573"/>
      <c r="DV25" s="1573"/>
      <c r="DW25" s="1573"/>
      <c r="DX25" s="1573"/>
      <c r="DY25" s="1573"/>
      <c r="DZ25" s="1573"/>
      <c r="EA25" s="1573"/>
      <c r="EB25" s="1573"/>
      <c r="EC25" s="1573"/>
      <c r="ED25" s="1573"/>
      <c r="EE25" s="1573"/>
      <c r="EF25" s="1573"/>
      <c r="EG25" s="1573"/>
      <c r="EH25" s="1573"/>
      <c r="EI25" s="1573"/>
      <c r="EJ25" s="1573"/>
      <c r="EK25" s="1573"/>
      <c r="EL25" s="1573"/>
      <c r="ER25" s="537"/>
      <c r="ES25" s="537"/>
      <c r="ET25" s="537"/>
      <c r="EU25" s="537"/>
      <c r="EX25" s="185" t="s">
        <v>1862</v>
      </c>
      <c r="EZ25" s="1556"/>
      <c r="FA25" s="1557"/>
      <c r="FB25" s="1557"/>
      <c r="FC25" s="1557"/>
      <c r="FD25" s="1557"/>
      <c r="FE25" s="1557"/>
      <c r="FF25" s="1557"/>
      <c r="FG25" s="1557"/>
      <c r="FH25" s="1557"/>
      <c r="FI25" s="1557"/>
      <c r="FJ25" s="1557"/>
      <c r="FK25" s="1558"/>
    </row>
    <row r="26" spans="1:167" s="536" customFormat="1" ht="10.5" customHeight="1">
      <c r="A26" s="536" t="s">
        <v>1863</v>
      </c>
      <c r="AO26" s="1592"/>
      <c r="AP26" s="1592"/>
      <c r="AQ26" s="1592"/>
      <c r="AR26" s="1592"/>
      <c r="AS26" s="1592"/>
      <c r="AT26" s="1592"/>
      <c r="AU26" s="1592"/>
      <c r="AV26" s="1592"/>
      <c r="AW26" s="1592"/>
      <c r="AX26" s="1592"/>
      <c r="AY26" s="1592"/>
      <c r="AZ26" s="1592"/>
      <c r="BA26" s="1592"/>
      <c r="BB26" s="1592"/>
      <c r="BC26" s="1592"/>
      <c r="BD26" s="1592"/>
      <c r="BE26" s="1592"/>
      <c r="BF26" s="1592"/>
      <c r="BG26" s="1592"/>
      <c r="BH26" s="1592"/>
      <c r="BI26" s="1592"/>
      <c r="BJ26" s="1592"/>
      <c r="BK26" s="1592"/>
      <c r="BL26" s="1592"/>
      <c r="BM26" s="1592"/>
      <c r="BN26" s="1592"/>
      <c r="BO26" s="1592"/>
      <c r="BP26" s="1592"/>
      <c r="BQ26" s="1592"/>
      <c r="BR26" s="1592"/>
      <c r="BS26" s="1592"/>
      <c r="BT26" s="1592"/>
      <c r="BU26" s="1592"/>
      <c r="BV26" s="1592"/>
      <c r="BW26" s="1592"/>
      <c r="BX26" s="1592"/>
      <c r="BY26" s="1592"/>
      <c r="BZ26" s="1592"/>
      <c r="CA26" s="1592"/>
      <c r="CB26" s="1592"/>
      <c r="CC26" s="1592"/>
      <c r="CD26" s="1592"/>
      <c r="CE26" s="1592"/>
      <c r="CF26" s="1592"/>
      <c r="CG26" s="1592"/>
      <c r="CH26" s="1592"/>
      <c r="CI26" s="1592"/>
      <c r="CJ26" s="1592"/>
      <c r="CK26" s="1592"/>
      <c r="CL26" s="1592"/>
      <c r="CM26" s="1592"/>
      <c r="CN26" s="1592"/>
      <c r="CO26" s="1592"/>
      <c r="CP26" s="1592"/>
      <c r="CQ26" s="1592"/>
      <c r="CR26" s="1592"/>
      <c r="CS26" s="1592"/>
      <c r="CT26" s="1592"/>
      <c r="CU26" s="1592"/>
      <c r="CV26" s="1592"/>
      <c r="CW26" s="1592"/>
      <c r="CX26" s="1592"/>
      <c r="CY26" s="1592"/>
      <c r="CZ26" s="1592"/>
      <c r="DA26" s="1592"/>
      <c r="DB26" s="1592"/>
      <c r="DC26" s="1592"/>
      <c r="DD26" s="1592"/>
      <c r="DE26" s="1592"/>
      <c r="DF26" s="1592"/>
      <c r="DG26" s="1592"/>
      <c r="DH26" s="1592"/>
      <c r="DI26" s="1592"/>
      <c r="DJ26" s="1592"/>
      <c r="DK26" s="1592"/>
      <c r="DL26" s="1592"/>
      <c r="DM26" s="1592"/>
      <c r="DN26" s="1592"/>
      <c r="DO26" s="1592"/>
      <c r="DP26" s="1592"/>
      <c r="DQ26" s="1592"/>
      <c r="DR26" s="1592"/>
      <c r="DS26" s="1592"/>
      <c r="DT26" s="1592"/>
      <c r="DU26" s="1592"/>
      <c r="DV26" s="1592"/>
      <c r="DW26" s="1592"/>
      <c r="DX26" s="1592"/>
      <c r="DY26" s="1592"/>
      <c r="DZ26" s="1592"/>
      <c r="EA26" s="1592"/>
      <c r="EB26" s="1592"/>
      <c r="EC26" s="1592"/>
      <c r="ED26" s="1592"/>
      <c r="EE26" s="1592"/>
      <c r="EF26" s="1592"/>
      <c r="EG26" s="1592"/>
      <c r="EH26" s="1592"/>
      <c r="EI26" s="1592"/>
      <c r="EJ26" s="1592"/>
      <c r="EK26" s="1592"/>
      <c r="EL26" s="1592"/>
      <c r="ER26" s="537"/>
      <c r="ES26" s="537"/>
      <c r="ET26" s="537"/>
      <c r="EU26" s="537"/>
      <c r="EX26" s="537"/>
      <c r="EZ26" s="1633"/>
      <c r="FA26" s="1634"/>
      <c r="FB26" s="1634"/>
      <c r="FC26" s="1634"/>
      <c r="FD26" s="1634"/>
      <c r="FE26" s="1634"/>
      <c r="FF26" s="1634"/>
      <c r="FG26" s="1634"/>
      <c r="FH26" s="1634"/>
      <c r="FI26" s="1634"/>
      <c r="FJ26" s="1634"/>
      <c r="FK26" s="1635"/>
    </row>
    <row r="27" spans="1:167" s="536" customFormat="1" ht="10.5" customHeight="1">
      <c r="A27" s="536" t="s">
        <v>1864</v>
      </c>
      <c r="AO27" s="1573"/>
      <c r="AP27" s="1573"/>
      <c r="AQ27" s="1573"/>
      <c r="AR27" s="1573"/>
      <c r="AS27" s="1573"/>
      <c r="AT27" s="1573"/>
      <c r="AU27" s="1573"/>
      <c r="AV27" s="1573"/>
      <c r="AW27" s="1573"/>
      <c r="AX27" s="1573"/>
      <c r="AY27" s="1573"/>
      <c r="AZ27" s="1573"/>
      <c r="BA27" s="1573"/>
      <c r="BB27" s="1573"/>
      <c r="BC27" s="1573"/>
      <c r="BD27" s="1573"/>
      <c r="BE27" s="1573"/>
      <c r="BF27" s="1573"/>
      <c r="BG27" s="1573"/>
      <c r="BH27" s="1573"/>
      <c r="BI27" s="1573"/>
      <c r="BJ27" s="1573"/>
      <c r="BK27" s="1573"/>
      <c r="BL27" s="1573"/>
      <c r="BM27" s="1573"/>
      <c r="BN27" s="1573"/>
      <c r="BO27" s="1573"/>
      <c r="BP27" s="1573"/>
      <c r="BQ27" s="1573"/>
      <c r="BR27" s="1573"/>
      <c r="BS27" s="1573"/>
      <c r="BT27" s="1573"/>
      <c r="BU27" s="1573"/>
      <c r="BV27" s="1573"/>
      <c r="BW27" s="1573"/>
      <c r="BX27" s="1573"/>
      <c r="BY27" s="1573"/>
      <c r="BZ27" s="1573"/>
      <c r="CA27" s="1573"/>
      <c r="CB27" s="1573"/>
      <c r="CC27" s="1573"/>
      <c r="CD27" s="1573"/>
      <c r="CE27" s="1573"/>
      <c r="CF27" s="1573"/>
      <c r="CG27" s="1573"/>
      <c r="CH27" s="1573"/>
      <c r="CI27" s="1573"/>
      <c r="CJ27" s="1573"/>
      <c r="CK27" s="1573"/>
      <c r="CL27" s="1573"/>
      <c r="CM27" s="1573"/>
      <c r="CN27" s="1573"/>
      <c r="CO27" s="1573"/>
      <c r="CP27" s="1573"/>
      <c r="CQ27" s="1573"/>
      <c r="CR27" s="1573"/>
      <c r="CS27" s="1573"/>
      <c r="CT27" s="1573"/>
      <c r="CU27" s="1573"/>
      <c r="CV27" s="1573"/>
      <c r="CW27" s="1573"/>
      <c r="CX27" s="1573"/>
      <c r="CY27" s="1573"/>
      <c r="CZ27" s="1573"/>
      <c r="DA27" s="1573"/>
      <c r="DB27" s="1573"/>
      <c r="DC27" s="1573"/>
      <c r="DD27" s="1573"/>
      <c r="DE27" s="1573"/>
      <c r="DF27" s="1573"/>
      <c r="DG27" s="1573"/>
      <c r="DH27" s="1573"/>
      <c r="DI27" s="1573"/>
      <c r="DJ27" s="1573"/>
      <c r="DK27" s="1573"/>
      <c r="DL27" s="1573"/>
      <c r="DM27" s="1573"/>
      <c r="DN27" s="1573"/>
      <c r="DO27" s="1573"/>
      <c r="DP27" s="1573"/>
      <c r="DQ27" s="1573"/>
      <c r="DR27" s="1573"/>
      <c r="DS27" s="1573"/>
      <c r="DT27" s="1573"/>
      <c r="DU27" s="1573"/>
      <c r="DV27" s="1573"/>
      <c r="DW27" s="1573"/>
      <c r="DX27" s="1573"/>
      <c r="DY27" s="1573"/>
      <c r="DZ27" s="1573"/>
      <c r="EA27" s="1573"/>
      <c r="EB27" s="1573"/>
      <c r="EC27" s="1573"/>
      <c r="ED27" s="1573"/>
      <c r="EE27" s="1573"/>
      <c r="EF27" s="1573"/>
      <c r="EG27" s="1573"/>
      <c r="EH27" s="1573"/>
      <c r="EI27" s="1573"/>
      <c r="EJ27" s="1573"/>
      <c r="EK27" s="1573"/>
      <c r="EL27" s="1573"/>
      <c r="ER27" s="537"/>
      <c r="ES27" s="537"/>
      <c r="ET27" s="537"/>
      <c r="EU27" s="537"/>
      <c r="EX27" s="537" t="s">
        <v>1865</v>
      </c>
      <c r="EZ27" s="1629"/>
      <c r="FA27" s="1630"/>
      <c r="FB27" s="1630"/>
      <c r="FC27" s="1630"/>
      <c r="FD27" s="1630"/>
      <c r="FE27" s="1630"/>
      <c r="FF27" s="1630"/>
      <c r="FG27" s="1630"/>
      <c r="FH27" s="1630"/>
      <c r="FI27" s="1630"/>
      <c r="FJ27" s="1630"/>
      <c r="FK27" s="1631"/>
    </row>
    <row r="28" spans="1:167" s="536" customFormat="1" ht="10.5" customHeight="1">
      <c r="A28" s="536" t="s">
        <v>1863</v>
      </c>
      <c r="AO28" s="1592"/>
      <c r="AP28" s="1592"/>
      <c r="AQ28" s="1592"/>
      <c r="AR28" s="1592"/>
      <c r="AS28" s="1592"/>
      <c r="AT28" s="1592"/>
      <c r="AU28" s="1592"/>
      <c r="AV28" s="1592"/>
      <c r="AW28" s="1592"/>
      <c r="AX28" s="1592"/>
      <c r="AY28" s="1592"/>
      <c r="AZ28" s="1592"/>
      <c r="BA28" s="1592"/>
      <c r="BB28" s="1592"/>
      <c r="BC28" s="1592"/>
      <c r="BD28" s="1592"/>
      <c r="BE28" s="1592"/>
      <c r="BF28" s="1592"/>
      <c r="BG28" s="1592"/>
      <c r="BH28" s="1592"/>
      <c r="BI28" s="1592"/>
      <c r="BJ28" s="1592"/>
      <c r="BK28" s="1592"/>
      <c r="BL28" s="1592"/>
      <c r="BM28" s="1592"/>
      <c r="BN28" s="1592"/>
      <c r="BO28" s="1592"/>
      <c r="BP28" s="1592"/>
      <c r="BQ28" s="1592"/>
      <c r="BR28" s="1592"/>
      <c r="BS28" s="1592"/>
      <c r="BT28" s="1592"/>
      <c r="BU28" s="1592"/>
      <c r="BV28" s="1592"/>
      <c r="BW28" s="1592"/>
      <c r="BX28" s="1592"/>
      <c r="BY28" s="1592"/>
      <c r="BZ28" s="1592"/>
      <c r="CA28" s="1592"/>
      <c r="CB28" s="1592"/>
      <c r="CC28" s="1592"/>
      <c r="CD28" s="1592"/>
      <c r="CE28" s="1592"/>
      <c r="CF28" s="1592"/>
      <c r="CG28" s="1592"/>
      <c r="CH28" s="1592"/>
      <c r="CI28" s="1592"/>
      <c r="CJ28" s="1592"/>
      <c r="CK28" s="1592"/>
      <c r="CL28" s="1592"/>
      <c r="CM28" s="1592"/>
      <c r="CN28" s="1592"/>
      <c r="CO28" s="1592"/>
      <c r="CP28" s="1592"/>
      <c r="CQ28" s="1592"/>
      <c r="CR28" s="1592"/>
      <c r="CS28" s="1592"/>
      <c r="CT28" s="1592"/>
      <c r="CU28" s="1592"/>
      <c r="CV28" s="1592"/>
      <c r="CW28" s="1592"/>
      <c r="CX28" s="1592"/>
      <c r="CY28" s="1592"/>
      <c r="CZ28" s="1592"/>
      <c r="DA28" s="1592"/>
      <c r="DB28" s="1592"/>
      <c r="DC28" s="1592"/>
      <c r="DD28" s="1592"/>
      <c r="DE28" s="1592"/>
      <c r="DF28" s="1592"/>
      <c r="DG28" s="1592"/>
      <c r="DH28" s="1592"/>
      <c r="DI28" s="1592"/>
      <c r="DJ28" s="1592"/>
      <c r="DK28" s="1592"/>
      <c r="DL28" s="1592"/>
      <c r="DM28" s="1592"/>
      <c r="DN28" s="1592"/>
      <c r="DO28" s="1592"/>
      <c r="DP28" s="1592"/>
      <c r="DQ28" s="1592"/>
      <c r="DR28" s="1592"/>
      <c r="DS28" s="1592"/>
      <c r="DT28" s="1592"/>
      <c r="DU28" s="1592"/>
      <c r="DV28" s="1592"/>
      <c r="DW28" s="1592"/>
      <c r="DX28" s="1592"/>
      <c r="DY28" s="1592"/>
      <c r="DZ28" s="1592"/>
      <c r="EA28" s="1592"/>
      <c r="EB28" s="1592"/>
      <c r="EC28" s="1592"/>
      <c r="ED28" s="1592"/>
      <c r="EE28" s="1592"/>
      <c r="EF28" s="1592"/>
      <c r="EG28" s="1592"/>
      <c r="EH28" s="1592"/>
      <c r="EI28" s="1592"/>
      <c r="EJ28" s="1592"/>
      <c r="EK28" s="1592"/>
      <c r="EL28" s="1592"/>
      <c r="EN28" s="184"/>
      <c r="EO28" s="184"/>
      <c r="EP28" s="184"/>
      <c r="EQ28" s="184"/>
      <c r="ER28" s="185"/>
      <c r="ES28" s="185"/>
      <c r="ET28" s="185"/>
      <c r="EU28" s="185"/>
      <c r="EW28" s="184"/>
      <c r="EZ28" s="1633"/>
      <c r="FA28" s="1634"/>
      <c r="FB28" s="1634"/>
      <c r="FC28" s="1634"/>
      <c r="FD28" s="1634"/>
      <c r="FE28" s="1634"/>
      <c r="FF28" s="1634"/>
      <c r="FG28" s="1634"/>
      <c r="FH28" s="1634"/>
      <c r="FI28" s="1634"/>
      <c r="FJ28" s="1634"/>
      <c r="FK28" s="1635"/>
    </row>
    <row r="29" spans="1:167" s="536" customFormat="1" ht="10.5" customHeight="1">
      <c r="A29" s="536" t="s">
        <v>1866</v>
      </c>
      <c r="AO29" s="1573"/>
      <c r="AP29" s="1573"/>
      <c r="AQ29" s="1573"/>
      <c r="AR29" s="1573"/>
      <c r="AS29" s="1573"/>
      <c r="AT29" s="1573"/>
      <c r="AU29" s="1573"/>
      <c r="AV29" s="1573"/>
      <c r="AW29" s="1573"/>
      <c r="AX29" s="1573"/>
      <c r="AY29" s="1573"/>
      <c r="AZ29" s="1573"/>
      <c r="BA29" s="1573"/>
      <c r="BB29" s="1573"/>
      <c r="BC29" s="1573"/>
      <c r="BD29" s="1573"/>
      <c r="BE29" s="1573"/>
      <c r="BF29" s="1573"/>
      <c r="BG29" s="1573"/>
      <c r="BH29" s="1573"/>
      <c r="BI29" s="1573"/>
      <c r="BJ29" s="1573"/>
      <c r="BK29" s="1573"/>
      <c r="BL29" s="1573"/>
      <c r="BM29" s="1573"/>
      <c r="BN29" s="1573"/>
      <c r="BO29" s="1573"/>
      <c r="BP29" s="1573"/>
      <c r="BQ29" s="1573"/>
      <c r="BR29" s="1573"/>
      <c r="BS29" s="1573"/>
      <c r="BT29" s="1573"/>
      <c r="BU29" s="1573"/>
      <c r="BV29" s="1573"/>
      <c r="BW29" s="1573"/>
      <c r="BX29" s="1573"/>
      <c r="BY29" s="1573"/>
      <c r="BZ29" s="1573"/>
      <c r="CA29" s="1573"/>
      <c r="CB29" s="1573"/>
      <c r="CC29" s="1573"/>
      <c r="CD29" s="1573"/>
      <c r="CE29" s="1573"/>
      <c r="CF29" s="1573"/>
      <c r="CG29" s="1573"/>
      <c r="CH29" s="1573"/>
      <c r="CI29" s="1573"/>
      <c r="CJ29" s="1573"/>
      <c r="CK29" s="1573"/>
      <c r="CL29" s="1573"/>
      <c r="CM29" s="1573"/>
      <c r="CN29" s="1573"/>
      <c r="CO29" s="1573"/>
      <c r="CP29" s="1573"/>
      <c r="CQ29" s="1573"/>
      <c r="CR29" s="1573"/>
      <c r="CS29" s="1573"/>
      <c r="CT29" s="1573"/>
      <c r="CU29" s="1573"/>
      <c r="CV29" s="1573"/>
      <c r="CW29" s="1573"/>
      <c r="CX29" s="1573"/>
      <c r="CY29" s="1573"/>
      <c r="CZ29" s="1573"/>
      <c r="DA29" s="1573"/>
      <c r="DB29" s="1573"/>
      <c r="DC29" s="1573"/>
      <c r="DD29" s="1573"/>
      <c r="DE29" s="1573"/>
      <c r="DF29" s="1573"/>
      <c r="DG29" s="1573"/>
      <c r="DH29" s="1573"/>
      <c r="DI29" s="1573"/>
      <c r="DJ29" s="1573"/>
      <c r="DK29" s="1573"/>
      <c r="DL29" s="1573"/>
      <c r="DM29" s="1573"/>
      <c r="DN29" s="1573"/>
      <c r="DO29" s="1573"/>
      <c r="DP29" s="1573"/>
      <c r="DQ29" s="1573"/>
      <c r="DR29" s="1573"/>
      <c r="DS29" s="1573"/>
      <c r="DT29" s="1573"/>
      <c r="DU29" s="1573"/>
      <c r="DV29" s="1573"/>
      <c r="DW29" s="1573"/>
      <c r="DX29" s="1573"/>
      <c r="DY29" s="1573"/>
      <c r="DZ29" s="1573"/>
      <c r="EA29" s="1573"/>
      <c r="EB29" s="1573"/>
      <c r="EC29" s="1573"/>
      <c r="ED29" s="1573"/>
      <c r="EE29" s="1573"/>
      <c r="EF29" s="1573"/>
      <c r="EG29" s="1573"/>
      <c r="EH29" s="1573"/>
      <c r="EI29" s="1573"/>
      <c r="EJ29" s="1573"/>
      <c r="EK29" s="1573"/>
      <c r="EL29" s="1573"/>
      <c r="EN29" s="184"/>
      <c r="EO29" s="184"/>
      <c r="EP29" s="184"/>
      <c r="EQ29" s="184"/>
      <c r="ER29" s="185"/>
      <c r="ES29" s="185"/>
      <c r="ET29" s="185"/>
      <c r="EU29" s="185"/>
      <c r="EW29" s="184"/>
      <c r="EX29" s="537" t="s">
        <v>1858</v>
      </c>
      <c r="EZ29" s="1636"/>
      <c r="FA29" s="1597"/>
      <c r="FB29" s="1597"/>
      <c r="FC29" s="1597"/>
      <c r="FD29" s="1597"/>
      <c r="FE29" s="1597"/>
      <c r="FF29" s="1597"/>
      <c r="FG29" s="1597"/>
      <c r="FH29" s="1597"/>
      <c r="FI29" s="1597"/>
      <c r="FJ29" s="1597"/>
      <c r="FK29" s="1637"/>
    </row>
    <row r="30" spans="1:167" s="536" customFormat="1" ht="10.5" customHeight="1">
      <c r="A30" s="536" t="s">
        <v>1867</v>
      </c>
      <c r="AX30" s="538"/>
      <c r="AY30" s="538"/>
      <c r="AZ30" s="538"/>
      <c r="BA30" s="538"/>
      <c r="BB30" s="538"/>
      <c r="BC30" s="538"/>
      <c r="BD30" s="538"/>
      <c r="BE30" s="538"/>
      <c r="BF30" s="538"/>
      <c r="BG30" s="538"/>
      <c r="BH30" s="538"/>
      <c r="BI30" s="538"/>
      <c r="BJ30" s="538"/>
      <c r="BK30" s="538"/>
      <c r="BL30" s="538"/>
      <c r="BM30" s="538"/>
      <c r="BN30" s="538"/>
      <c r="BO30" s="538"/>
      <c r="BP30" s="538"/>
      <c r="BQ30" s="538"/>
      <c r="BR30" s="538"/>
      <c r="BS30" s="538"/>
      <c r="BT30" s="538"/>
      <c r="BU30" s="538"/>
      <c r="BV30" s="538"/>
      <c r="BW30" s="538"/>
      <c r="BX30" s="538"/>
      <c r="BY30" s="538"/>
      <c r="BZ30" s="538"/>
      <c r="CA30" s="538"/>
      <c r="CB30" s="538"/>
      <c r="CC30" s="538"/>
      <c r="CD30" s="538"/>
      <c r="CE30" s="538"/>
      <c r="CF30" s="538"/>
      <c r="CG30" s="538"/>
      <c r="CH30" s="538"/>
      <c r="CI30" s="538"/>
      <c r="CJ30" s="538"/>
      <c r="CK30" s="538"/>
      <c r="CL30" s="538"/>
      <c r="CM30" s="538"/>
      <c r="CN30" s="538"/>
      <c r="CO30" s="538"/>
      <c r="CP30" s="538"/>
      <c r="CQ30" s="538"/>
      <c r="CR30" s="538"/>
      <c r="CS30" s="538"/>
      <c r="CT30" s="538"/>
      <c r="CU30" s="538"/>
      <c r="CV30" s="538"/>
      <c r="CW30" s="538"/>
      <c r="CX30" s="538"/>
      <c r="CY30" s="538"/>
      <c r="CZ30" s="538"/>
      <c r="DA30" s="538"/>
      <c r="DB30" s="538"/>
      <c r="DC30" s="538"/>
      <c r="DD30" s="538"/>
      <c r="DE30" s="538"/>
      <c r="DF30" s="538"/>
      <c r="DG30" s="538"/>
      <c r="DH30" s="538"/>
      <c r="DI30" s="538"/>
      <c r="DJ30" s="538"/>
      <c r="DK30" s="538"/>
      <c r="DL30" s="538"/>
      <c r="DM30" s="538"/>
      <c r="DN30" s="538"/>
      <c r="DO30" s="538"/>
      <c r="DP30" s="538"/>
      <c r="DQ30" s="538"/>
      <c r="DR30" s="538"/>
      <c r="DS30" s="538"/>
      <c r="DT30" s="538"/>
      <c r="DU30" s="538"/>
      <c r="DV30" s="538"/>
      <c r="DW30" s="538"/>
      <c r="DX30" s="538"/>
      <c r="DY30" s="538"/>
      <c r="DZ30" s="538"/>
      <c r="EA30" s="538"/>
      <c r="EB30" s="538"/>
      <c r="EC30" s="538"/>
      <c r="ED30" s="538"/>
      <c r="EE30" s="538"/>
      <c r="EF30" s="538"/>
      <c r="EG30" s="538"/>
      <c r="EH30" s="538"/>
      <c r="EI30" s="538"/>
      <c r="EJ30" s="184"/>
      <c r="EK30" s="184"/>
      <c r="EL30" s="184"/>
      <c r="EM30" s="184"/>
      <c r="EN30" s="184"/>
      <c r="EO30" s="184"/>
      <c r="EP30" s="184"/>
      <c r="EQ30" s="184"/>
      <c r="ER30" s="185"/>
      <c r="ES30" s="185"/>
      <c r="ET30" s="185"/>
      <c r="EU30" s="185"/>
      <c r="EW30" s="184"/>
      <c r="EX30" s="537" t="s">
        <v>1868</v>
      </c>
      <c r="EZ30" s="1629"/>
      <c r="FA30" s="1630"/>
      <c r="FB30" s="1630"/>
      <c r="FC30" s="1630"/>
      <c r="FD30" s="1630"/>
      <c r="FE30" s="1630"/>
      <c r="FF30" s="1630"/>
      <c r="FG30" s="1630"/>
      <c r="FH30" s="1630"/>
      <c r="FI30" s="1630"/>
      <c r="FJ30" s="1630"/>
      <c r="FK30" s="1631"/>
    </row>
    <row r="31" spans="1:167" s="536" customFormat="1" ht="10.5" customHeight="1" thickBot="1">
      <c r="L31" s="1599"/>
      <c r="M31" s="1599"/>
      <c r="N31" s="1599"/>
      <c r="O31" s="1599"/>
      <c r="P31" s="1599"/>
      <c r="Q31" s="1599"/>
      <c r="R31" s="1599"/>
      <c r="S31" s="1599"/>
      <c r="T31" s="1599"/>
      <c r="U31" s="1599"/>
      <c r="V31" s="1599"/>
      <c r="W31" s="1599"/>
      <c r="X31" s="1599"/>
      <c r="Y31" s="1599"/>
      <c r="Z31" s="1599"/>
      <c r="AA31" s="1599"/>
      <c r="AB31" s="1599"/>
      <c r="AC31" s="1599"/>
      <c r="AD31" s="1599"/>
      <c r="AE31" s="1599"/>
      <c r="AF31" s="1599"/>
      <c r="AG31" s="1599"/>
      <c r="AH31" s="1599"/>
      <c r="AI31" s="1599"/>
      <c r="AJ31" s="1599"/>
      <c r="AK31" s="1599"/>
      <c r="AL31" s="1599"/>
      <c r="AM31" s="1599"/>
      <c r="AN31" s="1599"/>
      <c r="AO31" s="1599"/>
      <c r="AP31" s="1599"/>
      <c r="AQ31" s="1599"/>
      <c r="AR31" s="1599"/>
      <c r="AS31" s="1599"/>
      <c r="AT31" s="1599"/>
      <c r="AU31" s="1599"/>
      <c r="AV31" s="1599"/>
      <c r="BI31" s="538"/>
      <c r="BJ31" s="538"/>
      <c r="BK31" s="538"/>
      <c r="BL31" s="538"/>
      <c r="BM31" s="538"/>
      <c r="BN31" s="538"/>
      <c r="BO31" s="538"/>
      <c r="BP31" s="538"/>
      <c r="BQ31" s="538"/>
      <c r="BR31" s="538"/>
      <c r="BS31" s="538"/>
      <c r="BT31" s="538"/>
      <c r="BU31" s="538"/>
      <c r="BV31" s="538"/>
      <c r="BW31" s="538"/>
      <c r="BX31" s="538"/>
      <c r="BY31" s="538"/>
      <c r="BZ31" s="538"/>
      <c r="CA31" s="538"/>
      <c r="CB31" s="538"/>
      <c r="CC31" s="538"/>
      <c r="CD31" s="538"/>
      <c r="CE31" s="538"/>
      <c r="CF31" s="538"/>
      <c r="CG31" s="538"/>
      <c r="CH31" s="538"/>
      <c r="CI31" s="538"/>
      <c r="CJ31" s="538"/>
      <c r="CK31" s="538"/>
      <c r="CL31" s="538"/>
      <c r="CM31" s="538"/>
      <c r="CN31" s="538"/>
      <c r="CO31" s="538"/>
      <c r="CP31" s="538"/>
      <c r="CQ31" s="538"/>
      <c r="CR31" s="538"/>
      <c r="CS31" s="538"/>
      <c r="CT31" s="538"/>
      <c r="CU31" s="538"/>
      <c r="CV31" s="538"/>
      <c r="CW31" s="538"/>
      <c r="CX31" s="538"/>
      <c r="CY31" s="538"/>
      <c r="CZ31" s="538"/>
      <c r="DA31" s="538"/>
      <c r="DB31" s="538"/>
      <c r="DC31" s="538"/>
      <c r="DD31" s="538"/>
      <c r="DE31" s="538"/>
      <c r="DF31" s="538"/>
      <c r="DG31" s="538"/>
      <c r="DH31" s="538"/>
      <c r="DI31" s="538"/>
      <c r="DJ31" s="538"/>
      <c r="DK31" s="538"/>
      <c r="DL31" s="538"/>
      <c r="DM31" s="538"/>
      <c r="DN31" s="538"/>
      <c r="DO31" s="538"/>
      <c r="DP31" s="538"/>
      <c r="DQ31" s="538"/>
      <c r="DR31" s="538"/>
      <c r="DS31" s="538"/>
      <c r="DT31" s="538"/>
      <c r="DU31" s="538"/>
      <c r="DV31" s="538"/>
      <c r="DW31" s="538"/>
      <c r="DX31" s="538"/>
      <c r="DY31" s="538"/>
      <c r="DZ31" s="538"/>
      <c r="EA31" s="538"/>
      <c r="EB31" s="538"/>
      <c r="EC31" s="538"/>
      <c r="ED31" s="538"/>
      <c r="EE31" s="538"/>
      <c r="EF31" s="538"/>
      <c r="EG31" s="538"/>
      <c r="EH31" s="538"/>
      <c r="EI31" s="538"/>
      <c r="EJ31" s="184"/>
      <c r="EK31" s="184"/>
      <c r="EL31" s="184"/>
      <c r="EM31" s="184"/>
      <c r="EN31" s="184"/>
      <c r="EO31" s="184"/>
      <c r="EP31" s="184"/>
      <c r="EQ31" s="184"/>
      <c r="ER31" s="185"/>
      <c r="ES31" s="185"/>
      <c r="ET31" s="185"/>
      <c r="EU31" s="185"/>
      <c r="EW31" s="184"/>
      <c r="EX31" s="537" t="s">
        <v>1869</v>
      </c>
      <c r="EZ31" s="1583"/>
      <c r="FA31" s="1584"/>
      <c r="FB31" s="1584"/>
      <c r="FC31" s="1584"/>
      <c r="FD31" s="1584"/>
      <c r="FE31" s="1584"/>
      <c r="FF31" s="1584"/>
      <c r="FG31" s="1584"/>
      <c r="FH31" s="1584"/>
      <c r="FI31" s="1584"/>
      <c r="FJ31" s="1584"/>
      <c r="FK31" s="1585"/>
    </row>
    <row r="32" spans="1:167" s="177" customFormat="1" ht="10.5" customHeight="1" thickBot="1">
      <c r="L32" s="1600" t="s">
        <v>1870</v>
      </c>
      <c r="M32" s="1600"/>
      <c r="N32" s="1600"/>
      <c r="O32" s="1600"/>
      <c r="P32" s="1600"/>
      <c r="Q32" s="1600"/>
      <c r="R32" s="1600"/>
      <c r="S32" s="1600"/>
      <c r="T32" s="1600"/>
      <c r="U32" s="1600"/>
      <c r="V32" s="1600"/>
      <c r="W32" s="1600"/>
      <c r="X32" s="1600"/>
      <c r="Y32" s="1600"/>
      <c r="Z32" s="1600"/>
      <c r="AA32" s="1600"/>
      <c r="AB32" s="1600"/>
      <c r="AC32" s="1600"/>
      <c r="AD32" s="1600"/>
      <c r="AE32" s="1600"/>
      <c r="AF32" s="1600"/>
      <c r="AG32" s="1600"/>
      <c r="AH32" s="1600"/>
      <c r="AI32" s="1600"/>
      <c r="AJ32" s="1600"/>
      <c r="AK32" s="1600"/>
      <c r="AL32" s="1600"/>
      <c r="AM32" s="1600"/>
      <c r="AN32" s="1600"/>
      <c r="AO32" s="1600"/>
      <c r="AP32" s="1600"/>
      <c r="AQ32" s="1600"/>
      <c r="AR32" s="1600"/>
      <c r="AS32" s="1600"/>
      <c r="AT32" s="1600"/>
      <c r="AU32" s="1600"/>
      <c r="AV32" s="1600"/>
      <c r="BI32" s="543"/>
      <c r="BJ32" s="543"/>
      <c r="BK32" s="543"/>
      <c r="BL32" s="543"/>
      <c r="BM32" s="543"/>
      <c r="BN32" s="543"/>
      <c r="BO32" s="543"/>
      <c r="BP32" s="543"/>
      <c r="BQ32" s="543"/>
      <c r="BR32" s="543"/>
      <c r="BS32" s="543"/>
      <c r="BT32" s="543"/>
      <c r="BU32" s="543"/>
      <c r="BV32" s="543"/>
      <c r="BW32" s="543"/>
      <c r="BX32" s="543"/>
      <c r="BY32" s="543"/>
      <c r="BZ32" s="543"/>
      <c r="CA32" s="543"/>
      <c r="CB32" s="543"/>
      <c r="CC32" s="543"/>
      <c r="CD32" s="543"/>
      <c r="DQ32" s="543"/>
      <c r="DR32" s="543"/>
      <c r="DS32" s="543"/>
      <c r="DT32" s="543"/>
      <c r="DU32" s="543"/>
      <c r="DV32" s="543"/>
      <c r="DW32" s="543"/>
      <c r="DX32" s="543"/>
      <c r="DY32" s="543"/>
      <c r="DZ32" s="543"/>
      <c r="EA32" s="543"/>
      <c r="EB32" s="543"/>
      <c r="EC32" s="543"/>
      <c r="ED32" s="543"/>
      <c r="EE32" s="543"/>
      <c r="EF32" s="543"/>
      <c r="EG32" s="543"/>
      <c r="EH32" s="543"/>
      <c r="EI32" s="543"/>
      <c r="EJ32" s="188"/>
      <c r="EK32" s="188"/>
      <c r="EL32" s="188"/>
      <c r="EM32" s="188"/>
      <c r="EN32" s="188"/>
      <c r="EO32" s="188"/>
      <c r="EP32" s="188"/>
      <c r="EQ32" s="188"/>
      <c r="ER32" s="189"/>
      <c r="ES32" s="189"/>
      <c r="ET32" s="189"/>
      <c r="EU32" s="189"/>
      <c r="EW32" s="188"/>
      <c r="EX32" s="190"/>
      <c r="EY32" s="190"/>
      <c r="EZ32" s="190"/>
      <c r="FA32" s="190"/>
      <c r="FB32" s="190"/>
      <c r="FC32" s="190"/>
      <c r="FD32" s="190"/>
      <c r="FE32" s="190"/>
      <c r="FF32" s="190"/>
      <c r="FG32" s="190"/>
      <c r="FH32" s="190"/>
      <c r="FI32" s="190"/>
      <c r="FJ32" s="190"/>
      <c r="FK32" s="190"/>
    </row>
    <row r="33" spans="1:167" s="536" customFormat="1" thickBot="1">
      <c r="AX33" s="191"/>
      <c r="AY33" s="191"/>
      <c r="AZ33" s="191"/>
      <c r="BA33" s="191"/>
      <c r="BB33" s="191"/>
      <c r="BI33" s="538"/>
      <c r="BJ33" s="538"/>
      <c r="BK33" s="538"/>
      <c r="BL33" s="538"/>
      <c r="BM33" s="538"/>
      <c r="BN33" s="538"/>
      <c r="BO33" s="538"/>
      <c r="BP33" s="538"/>
      <c r="BQ33" s="538"/>
      <c r="BR33" s="538"/>
      <c r="BS33" s="538"/>
      <c r="BT33" s="538"/>
      <c r="BU33" s="538"/>
      <c r="BV33" s="538"/>
      <c r="CB33" s="538"/>
      <c r="CC33" s="538"/>
      <c r="CD33" s="538"/>
      <c r="DQ33" s="538"/>
      <c r="DR33" s="538"/>
      <c r="DS33" s="538"/>
      <c r="DT33" s="538"/>
      <c r="DU33" s="538"/>
      <c r="DV33" s="538"/>
      <c r="DW33" s="538"/>
      <c r="DX33" s="538"/>
      <c r="DY33" s="538"/>
      <c r="DZ33" s="538"/>
      <c r="EA33" s="538"/>
      <c r="EB33" s="538"/>
      <c r="EC33" s="538"/>
      <c r="ED33" s="538"/>
      <c r="EE33" s="538"/>
      <c r="EF33" s="538"/>
      <c r="EG33" s="538"/>
      <c r="EI33" s="538"/>
      <c r="EL33" s="185" t="s">
        <v>1871</v>
      </c>
      <c r="EN33" s="1566"/>
      <c r="EO33" s="1567"/>
      <c r="EP33" s="1567"/>
      <c r="EQ33" s="1567"/>
      <c r="ER33" s="1567"/>
      <c r="ES33" s="1567"/>
      <c r="ET33" s="1567"/>
      <c r="EU33" s="1567"/>
      <c r="EV33" s="1567"/>
      <c r="EW33" s="1567"/>
      <c r="EX33" s="1567"/>
      <c r="EY33" s="1567"/>
      <c r="EZ33" s="1567"/>
      <c r="FA33" s="1567"/>
      <c r="FB33" s="1567"/>
      <c r="FC33" s="1567"/>
      <c r="FD33" s="1567"/>
      <c r="FE33" s="1567"/>
      <c r="FF33" s="1567"/>
      <c r="FG33" s="1567"/>
      <c r="FH33" s="1567"/>
      <c r="FI33" s="1567"/>
      <c r="FJ33" s="1567"/>
      <c r="FK33" s="1568"/>
    </row>
    <row r="34" spans="1:167" s="536" customFormat="1" ht="5.25" customHeight="1">
      <c r="A34" s="186"/>
      <c r="BB34" s="538"/>
      <c r="BC34" s="538"/>
      <c r="BD34" s="538"/>
      <c r="BE34" s="538"/>
      <c r="BF34" s="538"/>
      <c r="BG34" s="538"/>
      <c r="BH34" s="538"/>
      <c r="BI34" s="538"/>
      <c r="BJ34" s="538"/>
      <c r="BK34" s="538"/>
      <c r="BL34" s="538"/>
      <c r="BM34" s="538"/>
      <c r="BN34" s="538"/>
      <c r="BO34" s="538"/>
      <c r="BP34" s="538"/>
      <c r="BQ34" s="538"/>
      <c r="BR34" s="538"/>
      <c r="BS34" s="538"/>
      <c r="BT34" s="538"/>
      <c r="BU34" s="538"/>
      <c r="BV34" s="538"/>
      <c r="BW34" s="538"/>
      <c r="BX34" s="538"/>
      <c r="BY34" s="538"/>
      <c r="BZ34" s="538"/>
      <c r="CA34" s="538"/>
      <c r="CB34" s="538"/>
      <c r="CC34" s="538"/>
      <c r="CD34" s="538"/>
      <c r="CE34" s="538"/>
      <c r="CF34" s="538"/>
      <c r="CG34" s="538"/>
      <c r="CH34" s="538"/>
      <c r="CI34" s="538"/>
      <c r="CJ34" s="538"/>
      <c r="CK34" s="538"/>
      <c r="CL34" s="538"/>
      <c r="CM34" s="538"/>
      <c r="CN34" s="538"/>
      <c r="CO34" s="538"/>
      <c r="CP34" s="538"/>
      <c r="CQ34" s="538"/>
      <c r="CR34" s="538"/>
      <c r="CS34" s="538"/>
      <c r="CT34" s="538"/>
      <c r="CU34" s="538"/>
      <c r="CV34" s="538"/>
      <c r="CW34" s="538"/>
      <c r="CX34" s="538"/>
      <c r="CY34" s="538"/>
      <c r="CZ34" s="538"/>
      <c r="DA34" s="538"/>
      <c r="DB34" s="538"/>
      <c r="DC34" s="538"/>
      <c r="DD34" s="538"/>
      <c r="DE34" s="538"/>
      <c r="DF34" s="538"/>
      <c r="DG34" s="538"/>
      <c r="DH34" s="538"/>
      <c r="DI34" s="538"/>
      <c r="DJ34" s="538"/>
      <c r="DK34" s="538"/>
      <c r="DL34" s="538"/>
      <c r="DM34" s="538"/>
      <c r="DN34" s="538"/>
      <c r="DO34" s="538"/>
      <c r="DP34" s="538"/>
      <c r="DQ34" s="538"/>
      <c r="DR34" s="538"/>
      <c r="DS34" s="538"/>
      <c r="DT34" s="538"/>
      <c r="DU34" s="538"/>
      <c r="DV34" s="538"/>
      <c r="DW34" s="538"/>
      <c r="DX34" s="538"/>
      <c r="DY34" s="538"/>
      <c r="DZ34" s="538"/>
      <c r="EA34" s="538"/>
      <c r="EB34" s="538"/>
      <c r="EC34" s="538"/>
      <c r="ED34" s="538"/>
      <c r="EE34" s="538"/>
      <c r="EF34" s="538"/>
      <c r="EG34" s="538"/>
      <c r="EH34" s="538"/>
      <c r="EI34" s="538"/>
      <c r="EJ34" s="184"/>
      <c r="EK34" s="184"/>
      <c r="EL34" s="184"/>
      <c r="EM34" s="184"/>
      <c r="EN34" s="184"/>
      <c r="EO34" s="184"/>
      <c r="EP34" s="184"/>
      <c r="EQ34" s="184"/>
      <c r="ER34" s="185"/>
      <c r="ES34" s="185"/>
      <c r="ET34" s="185"/>
      <c r="EU34" s="185"/>
      <c r="EW34" s="184"/>
      <c r="EX34" s="192"/>
      <c r="EY34" s="192"/>
      <c r="EZ34" s="192"/>
      <c r="FA34" s="192"/>
      <c r="FB34" s="192"/>
      <c r="FC34" s="192"/>
      <c r="FD34" s="192"/>
      <c r="FE34" s="192"/>
      <c r="FF34" s="192"/>
      <c r="FG34" s="192"/>
      <c r="FH34" s="192"/>
      <c r="FI34" s="192"/>
      <c r="FJ34" s="192"/>
      <c r="FK34" s="192"/>
    </row>
    <row r="35" spans="1:167" s="536" customFormat="1" ht="10.5" customHeight="1">
      <c r="A35" s="1632" t="s">
        <v>1841</v>
      </c>
      <c r="B35" s="1577"/>
      <c r="C35" s="1577"/>
      <c r="D35" s="1577"/>
      <c r="E35" s="1577"/>
      <c r="F35" s="1577"/>
      <c r="G35" s="1577"/>
      <c r="H35" s="1577"/>
      <c r="I35" s="1577"/>
      <c r="J35" s="1577"/>
      <c r="K35" s="1577"/>
      <c r="L35" s="1577"/>
      <c r="M35" s="1577"/>
      <c r="N35" s="1577"/>
      <c r="O35" s="1577"/>
      <c r="P35" s="1577"/>
      <c r="Q35" s="1577"/>
      <c r="R35" s="1577"/>
      <c r="S35" s="1577"/>
      <c r="T35" s="1577"/>
      <c r="U35" s="1577"/>
      <c r="V35" s="1577"/>
      <c r="W35" s="1577"/>
      <c r="X35" s="1577"/>
      <c r="Y35" s="1577"/>
      <c r="Z35" s="1577"/>
      <c r="AA35" s="1577"/>
      <c r="AB35" s="1577"/>
      <c r="AC35" s="1577"/>
      <c r="AD35" s="1577"/>
      <c r="AE35" s="1576" t="s">
        <v>1872</v>
      </c>
      <c r="AF35" s="1577"/>
      <c r="AG35" s="1577"/>
      <c r="AH35" s="1577"/>
      <c r="AI35" s="1577"/>
      <c r="AJ35" s="1577"/>
      <c r="AK35" s="1577"/>
      <c r="AL35" s="1577"/>
      <c r="AM35" s="1577"/>
      <c r="AN35" s="1577"/>
      <c r="AO35" s="1574" t="s">
        <v>1873</v>
      </c>
      <c r="AP35" s="1575"/>
      <c r="AQ35" s="1575"/>
      <c r="AR35" s="1575"/>
      <c r="AS35" s="1575"/>
      <c r="AT35" s="1575"/>
      <c r="AU35" s="1575"/>
      <c r="AV35" s="1575"/>
      <c r="AW35" s="1575"/>
      <c r="AX35" s="1575"/>
      <c r="AY35" s="1576" t="s">
        <v>1874</v>
      </c>
      <c r="AZ35" s="1577"/>
      <c r="BA35" s="1577"/>
      <c r="BB35" s="1577"/>
      <c r="BC35" s="1577"/>
      <c r="BD35" s="1577"/>
      <c r="BE35" s="1577"/>
      <c r="BF35" s="1577"/>
      <c r="BG35" s="1577"/>
      <c r="BH35" s="1577"/>
      <c r="BI35" s="1593" t="s">
        <v>1875</v>
      </c>
      <c r="BJ35" s="1594"/>
      <c r="BK35" s="1594"/>
      <c r="BL35" s="1594"/>
      <c r="BM35" s="1594"/>
      <c r="BN35" s="1594"/>
      <c r="BO35" s="1594"/>
      <c r="BP35" s="1594"/>
      <c r="BQ35" s="1594"/>
      <c r="BR35" s="1594"/>
      <c r="BS35" s="1594"/>
      <c r="BT35" s="1594"/>
      <c r="BU35" s="1594"/>
      <c r="BV35" s="1594"/>
      <c r="BW35" s="1594"/>
      <c r="BX35" s="1594"/>
      <c r="BY35" s="1594"/>
      <c r="BZ35" s="1594"/>
      <c r="CA35" s="1594"/>
      <c r="CB35" s="1594"/>
      <c r="CC35" s="1594"/>
      <c r="CD35" s="1594"/>
      <c r="CE35" s="1594"/>
      <c r="CF35" s="1594"/>
      <c r="CG35" s="1594"/>
      <c r="CH35" s="1594"/>
      <c r="CI35" s="1594"/>
      <c r="CJ35" s="1594"/>
      <c r="CK35" s="1594"/>
      <c r="CL35" s="1594"/>
      <c r="CM35" s="1595"/>
      <c r="CN35" s="1641" t="s">
        <v>1876</v>
      </c>
      <c r="CO35" s="1642"/>
      <c r="CP35" s="1642"/>
      <c r="CQ35" s="1642"/>
      <c r="CR35" s="1642"/>
      <c r="CS35" s="1642"/>
      <c r="CT35" s="1642"/>
      <c r="CU35" s="1642"/>
      <c r="CV35" s="1642"/>
      <c r="CW35" s="1642"/>
      <c r="CX35" s="1642"/>
      <c r="CY35" s="1642"/>
      <c r="CZ35" s="1642"/>
      <c r="DA35" s="1642"/>
      <c r="DB35" s="1642"/>
      <c r="DC35" s="1642"/>
      <c r="DD35" s="1642"/>
      <c r="DE35" s="1642"/>
      <c r="DF35" s="1642"/>
      <c r="DG35" s="1642"/>
      <c r="DH35" s="1642"/>
      <c r="DI35" s="1642"/>
      <c r="DJ35" s="1642"/>
      <c r="DK35" s="1642"/>
      <c r="DL35" s="1642"/>
      <c r="DM35" s="1642"/>
      <c r="DN35" s="1642"/>
      <c r="DO35" s="1643"/>
      <c r="DP35" s="1586" t="s">
        <v>1877</v>
      </c>
      <c r="DQ35" s="1587"/>
      <c r="DR35" s="1587"/>
      <c r="DS35" s="1587"/>
      <c r="DT35" s="1587"/>
      <c r="DU35" s="1587"/>
      <c r="DV35" s="1587"/>
      <c r="DW35" s="1587"/>
      <c r="DX35" s="1587"/>
      <c r="DY35" s="1587"/>
      <c r="DZ35" s="1587"/>
      <c r="EA35" s="1587"/>
      <c r="EB35" s="1587"/>
      <c r="EC35" s="1587"/>
      <c r="ED35" s="1587"/>
      <c r="EE35" s="1587"/>
      <c r="EF35" s="1587"/>
      <c r="EG35" s="1587"/>
      <c r="EH35" s="1587"/>
      <c r="EI35" s="1587"/>
      <c r="EJ35" s="1587"/>
      <c r="EK35" s="1587"/>
      <c r="EL35" s="1587"/>
      <c r="EM35" s="1587"/>
      <c r="EN35" s="1587"/>
      <c r="EO35" s="1587"/>
      <c r="EP35" s="1587"/>
      <c r="EQ35" s="1587"/>
      <c r="ER35" s="1587"/>
      <c r="ES35" s="1587"/>
      <c r="ET35" s="1587"/>
      <c r="EU35" s="1587"/>
      <c r="EV35" s="1587"/>
      <c r="EW35" s="1587"/>
      <c r="EX35" s="1587"/>
      <c r="EY35" s="1587"/>
      <c r="EZ35" s="1587"/>
      <c r="FA35" s="1587"/>
      <c r="FB35" s="1587"/>
      <c r="FC35" s="1587"/>
      <c r="FD35" s="1587"/>
      <c r="FE35" s="1587"/>
      <c r="FF35" s="1587"/>
      <c r="FG35" s="1587"/>
      <c r="FH35" s="1587"/>
      <c r="FI35" s="1587"/>
      <c r="FJ35" s="1587"/>
      <c r="FK35" s="1587"/>
    </row>
    <row r="36" spans="1:167" s="536" customFormat="1" ht="10.5" customHeight="1">
      <c r="A36" s="1632"/>
      <c r="B36" s="1577"/>
      <c r="C36" s="1577"/>
      <c r="D36" s="1577"/>
      <c r="E36" s="1577"/>
      <c r="F36" s="1577"/>
      <c r="G36" s="1577"/>
      <c r="H36" s="1577"/>
      <c r="I36" s="1577"/>
      <c r="J36" s="1577"/>
      <c r="K36" s="1577"/>
      <c r="L36" s="1577"/>
      <c r="M36" s="1577"/>
      <c r="N36" s="1577"/>
      <c r="O36" s="1577"/>
      <c r="P36" s="1577"/>
      <c r="Q36" s="1577"/>
      <c r="R36" s="1577"/>
      <c r="S36" s="1577"/>
      <c r="T36" s="1577"/>
      <c r="U36" s="1577"/>
      <c r="V36" s="1577"/>
      <c r="W36" s="1577"/>
      <c r="X36" s="1577"/>
      <c r="Y36" s="1577"/>
      <c r="Z36" s="1577"/>
      <c r="AA36" s="1577"/>
      <c r="AB36" s="1577"/>
      <c r="AC36" s="1577"/>
      <c r="AD36" s="1577"/>
      <c r="AE36" s="1576"/>
      <c r="AF36" s="1577"/>
      <c r="AG36" s="1577"/>
      <c r="AH36" s="1577"/>
      <c r="AI36" s="1577"/>
      <c r="AJ36" s="1577"/>
      <c r="AK36" s="1577"/>
      <c r="AL36" s="1577"/>
      <c r="AM36" s="1577"/>
      <c r="AN36" s="1577"/>
      <c r="AO36" s="1574"/>
      <c r="AP36" s="1575"/>
      <c r="AQ36" s="1575"/>
      <c r="AR36" s="1575"/>
      <c r="AS36" s="1575"/>
      <c r="AT36" s="1575"/>
      <c r="AU36" s="1575"/>
      <c r="AV36" s="1575"/>
      <c r="AW36" s="1575"/>
      <c r="AX36" s="1575"/>
      <c r="AY36" s="1576"/>
      <c r="AZ36" s="1577"/>
      <c r="BA36" s="1577"/>
      <c r="BB36" s="1577"/>
      <c r="BC36" s="1577"/>
      <c r="BD36" s="1577"/>
      <c r="BE36" s="1577"/>
      <c r="BF36" s="1577"/>
      <c r="BG36" s="1577"/>
      <c r="BH36" s="1577"/>
      <c r="BI36" s="1638" t="s">
        <v>1878</v>
      </c>
      <c r="BJ36" s="1639"/>
      <c r="BK36" s="1639"/>
      <c r="BL36" s="1639"/>
      <c r="BM36" s="1639"/>
      <c r="BN36" s="1639"/>
      <c r="BO36" s="1639"/>
      <c r="BP36" s="1639"/>
      <c r="BQ36" s="1639"/>
      <c r="BR36" s="1639"/>
      <c r="BS36" s="1639"/>
      <c r="BT36" s="1639"/>
      <c r="BU36" s="1639"/>
      <c r="BV36" s="1639"/>
      <c r="BW36" s="1639"/>
      <c r="BX36" s="1639"/>
      <c r="BY36" s="1639"/>
      <c r="BZ36" s="1639"/>
      <c r="CA36" s="1639"/>
      <c r="CB36" s="1639"/>
      <c r="CC36" s="1639"/>
      <c r="CD36" s="1639"/>
      <c r="CE36" s="1639"/>
      <c r="CF36" s="1639"/>
      <c r="CG36" s="1639"/>
      <c r="CH36" s="1639"/>
      <c r="CI36" s="1639"/>
      <c r="CJ36" s="1639"/>
      <c r="CK36" s="1639"/>
      <c r="CL36" s="1639"/>
      <c r="CM36" s="1640"/>
      <c r="CN36" s="1644"/>
      <c r="CO36" s="1645"/>
      <c r="CP36" s="1645"/>
      <c r="CQ36" s="1645"/>
      <c r="CR36" s="1645"/>
      <c r="CS36" s="1645"/>
      <c r="CT36" s="1645"/>
      <c r="CU36" s="1645"/>
      <c r="CV36" s="1645"/>
      <c r="CW36" s="1645"/>
      <c r="CX36" s="1645"/>
      <c r="CY36" s="1645"/>
      <c r="CZ36" s="1645"/>
      <c r="DA36" s="1645"/>
      <c r="DB36" s="1645"/>
      <c r="DC36" s="1645"/>
      <c r="DD36" s="1645"/>
      <c r="DE36" s="1645"/>
      <c r="DF36" s="1645"/>
      <c r="DG36" s="1645"/>
      <c r="DH36" s="1645"/>
      <c r="DI36" s="1645"/>
      <c r="DJ36" s="1645"/>
      <c r="DK36" s="1645"/>
      <c r="DL36" s="1645"/>
      <c r="DM36" s="1645"/>
      <c r="DN36" s="1645"/>
      <c r="DO36" s="1646"/>
      <c r="DP36" s="1588"/>
      <c r="DQ36" s="1589"/>
      <c r="DR36" s="1589"/>
      <c r="DS36" s="1589"/>
      <c r="DT36" s="1589"/>
      <c r="DU36" s="1589"/>
      <c r="DV36" s="1589"/>
      <c r="DW36" s="1589"/>
      <c r="DX36" s="1589"/>
      <c r="DY36" s="1589"/>
      <c r="DZ36" s="1589"/>
      <c r="EA36" s="1589"/>
      <c r="EB36" s="1589"/>
      <c r="EC36" s="1589"/>
      <c r="ED36" s="1589"/>
      <c r="EE36" s="1589"/>
      <c r="EF36" s="1589"/>
      <c r="EG36" s="1589"/>
      <c r="EH36" s="1589"/>
      <c r="EI36" s="1589"/>
      <c r="EJ36" s="1589"/>
      <c r="EK36" s="1589"/>
      <c r="EL36" s="1589"/>
      <c r="EM36" s="1589"/>
      <c r="EN36" s="1589"/>
      <c r="EO36" s="1589"/>
      <c r="EP36" s="1589"/>
      <c r="EQ36" s="1589"/>
      <c r="ER36" s="1589"/>
      <c r="ES36" s="1589"/>
      <c r="ET36" s="1589"/>
      <c r="EU36" s="1589"/>
      <c r="EV36" s="1589"/>
      <c r="EW36" s="1589"/>
      <c r="EX36" s="1589"/>
      <c r="EY36" s="1589"/>
      <c r="EZ36" s="1589"/>
      <c r="FA36" s="1589"/>
      <c r="FB36" s="1589"/>
      <c r="FC36" s="1589"/>
      <c r="FD36" s="1589"/>
      <c r="FE36" s="1589"/>
      <c r="FF36" s="1589"/>
      <c r="FG36" s="1589"/>
      <c r="FH36" s="1589"/>
      <c r="FI36" s="1589"/>
      <c r="FJ36" s="1589"/>
      <c r="FK36" s="1589"/>
    </row>
    <row r="37" spans="1:167" s="195" customFormat="1" ht="10.5" customHeight="1">
      <c r="A37" s="1632"/>
      <c r="B37" s="1577"/>
      <c r="C37" s="1577"/>
      <c r="D37" s="1577"/>
      <c r="E37" s="1577"/>
      <c r="F37" s="1577"/>
      <c r="G37" s="1577"/>
      <c r="H37" s="1577"/>
      <c r="I37" s="1577"/>
      <c r="J37" s="1577"/>
      <c r="K37" s="1577"/>
      <c r="L37" s="1577"/>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c r="AN37" s="1577"/>
      <c r="AO37" s="1575"/>
      <c r="AP37" s="1575"/>
      <c r="AQ37" s="1575"/>
      <c r="AR37" s="1575"/>
      <c r="AS37" s="1575"/>
      <c r="AT37" s="1575"/>
      <c r="AU37" s="1575"/>
      <c r="AV37" s="1575"/>
      <c r="AW37" s="1575"/>
      <c r="AX37" s="1575"/>
      <c r="AY37" s="1577"/>
      <c r="AZ37" s="1577"/>
      <c r="BA37" s="1577"/>
      <c r="BB37" s="1577"/>
      <c r="BC37" s="1577"/>
      <c r="BD37" s="1577"/>
      <c r="BE37" s="1577"/>
      <c r="BF37" s="1577"/>
      <c r="BG37" s="1577"/>
      <c r="BH37" s="1577"/>
      <c r="BI37" s="193"/>
      <c r="BJ37" s="536"/>
      <c r="BK37" s="536"/>
      <c r="BL37" s="536"/>
      <c r="BM37" s="536"/>
      <c r="BN37" s="536"/>
      <c r="BO37" s="536"/>
      <c r="BP37" s="536"/>
      <c r="BQ37" s="536"/>
      <c r="BR37" s="536"/>
      <c r="BS37" s="536"/>
      <c r="BT37" s="536"/>
      <c r="BU37" s="536"/>
      <c r="BV37" s="536"/>
      <c r="BW37" s="536"/>
      <c r="BX37" s="536"/>
      <c r="BY37" s="536"/>
      <c r="BZ37" s="536"/>
      <c r="CA37" s="537" t="s">
        <v>1879</v>
      </c>
      <c r="CB37" s="1616"/>
      <c r="CC37" s="1616"/>
      <c r="CD37" s="1616"/>
      <c r="CE37" s="536" t="s">
        <v>1849</v>
      </c>
      <c r="CF37" s="536"/>
      <c r="CG37" s="536"/>
      <c r="CH37" s="536"/>
      <c r="CI37" s="536"/>
      <c r="CJ37" s="536"/>
      <c r="CK37" s="536"/>
      <c r="CL37" s="536"/>
      <c r="CM37" s="194"/>
      <c r="CN37" s="1644"/>
      <c r="CO37" s="1645"/>
      <c r="CP37" s="1645"/>
      <c r="CQ37" s="1645"/>
      <c r="CR37" s="1645"/>
      <c r="CS37" s="1645"/>
      <c r="CT37" s="1645"/>
      <c r="CU37" s="1645"/>
      <c r="CV37" s="1645"/>
      <c r="CW37" s="1645"/>
      <c r="CX37" s="1645"/>
      <c r="CY37" s="1645"/>
      <c r="CZ37" s="1645"/>
      <c r="DA37" s="1645"/>
      <c r="DB37" s="1645"/>
      <c r="DC37" s="1645"/>
      <c r="DD37" s="1645"/>
      <c r="DE37" s="1645"/>
      <c r="DF37" s="1645"/>
      <c r="DG37" s="1645"/>
      <c r="DH37" s="1645"/>
      <c r="DI37" s="1645"/>
      <c r="DJ37" s="1645"/>
      <c r="DK37" s="1645"/>
      <c r="DL37" s="1645"/>
      <c r="DM37" s="1645"/>
      <c r="DN37" s="1645"/>
      <c r="DO37" s="1646"/>
      <c r="DP37" s="1588"/>
      <c r="DQ37" s="1589"/>
      <c r="DR37" s="1589"/>
      <c r="DS37" s="1589"/>
      <c r="DT37" s="1589"/>
      <c r="DU37" s="1589"/>
      <c r="DV37" s="1589"/>
      <c r="DW37" s="1589"/>
      <c r="DX37" s="1589"/>
      <c r="DY37" s="1589"/>
      <c r="DZ37" s="1589"/>
      <c r="EA37" s="1589"/>
      <c r="EB37" s="1589"/>
      <c r="EC37" s="1589"/>
      <c r="ED37" s="1589"/>
      <c r="EE37" s="1589"/>
      <c r="EF37" s="1589"/>
      <c r="EG37" s="1589"/>
      <c r="EH37" s="1589"/>
      <c r="EI37" s="1589"/>
      <c r="EJ37" s="1589"/>
      <c r="EK37" s="1589"/>
      <c r="EL37" s="1589"/>
      <c r="EM37" s="1589"/>
      <c r="EN37" s="1589"/>
      <c r="EO37" s="1589"/>
      <c r="EP37" s="1589"/>
      <c r="EQ37" s="1589"/>
      <c r="ER37" s="1589"/>
      <c r="ES37" s="1589"/>
      <c r="ET37" s="1589"/>
      <c r="EU37" s="1589"/>
      <c r="EV37" s="1589"/>
      <c r="EW37" s="1589"/>
      <c r="EX37" s="1589"/>
      <c r="EY37" s="1589"/>
      <c r="EZ37" s="1589"/>
      <c r="FA37" s="1589"/>
      <c r="FB37" s="1589"/>
      <c r="FC37" s="1589"/>
      <c r="FD37" s="1589"/>
      <c r="FE37" s="1589"/>
      <c r="FF37" s="1589"/>
      <c r="FG37" s="1589"/>
      <c r="FH37" s="1589"/>
      <c r="FI37" s="1589"/>
      <c r="FJ37" s="1589"/>
      <c r="FK37" s="1589"/>
    </row>
    <row r="38" spans="1:167" s="195" customFormat="1" ht="3" customHeight="1">
      <c r="A38" s="1632"/>
      <c r="B38" s="1577"/>
      <c r="C38" s="1577"/>
      <c r="D38" s="1577"/>
      <c r="E38" s="1577"/>
      <c r="F38" s="1577"/>
      <c r="G38" s="1577"/>
      <c r="H38" s="1577"/>
      <c r="I38" s="1577"/>
      <c r="J38" s="1577"/>
      <c r="K38" s="1577"/>
      <c r="L38" s="1577"/>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c r="AN38" s="1577"/>
      <c r="AO38" s="1575"/>
      <c r="AP38" s="1575"/>
      <c r="AQ38" s="1575"/>
      <c r="AR38" s="1575"/>
      <c r="AS38" s="1575"/>
      <c r="AT38" s="1575"/>
      <c r="AU38" s="1575"/>
      <c r="AV38" s="1575"/>
      <c r="AW38" s="1575"/>
      <c r="AX38" s="1575"/>
      <c r="AY38" s="1577"/>
      <c r="AZ38" s="1577"/>
      <c r="BA38" s="1577"/>
      <c r="BB38" s="1577"/>
      <c r="BC38" s="1577"/>
      <c r="BD38" s="1577"/>
      <c r="BE38" s="1577"/>
      <c r="BF38" s="1577"/>
      <c r="BG38" s="1577"/>
      <c r="BH38" s="1577"/>
      <c r="BI38" s="196"/>
      <c r="BJ38" s="197"/>
      <c r="BK38" s="197"/>
      <c r="BL38" s="197"/>
      <c r="BM38" s="197"/>
      <c r="BN38" s="197"/>
      <c r="BO38" s="197"/>
      <c r="BP38" s="197"/>
      <c r="BQ38" s="197"/>
      <c r="BR38" s="197"/>
      <c r="BS38" s="197"/>
      <c r="BT38" s="197"/>
      <c r="BU38" s="197"/>
      <c r="BV38" s="197"/>
      <c r="BW38" s="197"/>
      <c r="BX38" s="197"/>
      <c r="BY38" s="197"/>
      <c r="BZ38" s="197"/>
      <c r="CA38" s="197"/>
      <c r="CB38" s="197"/>
      <c r="CC38" s="197"/>
      <c r="CD38" s="197"/>
      <c r="CE38" s="197"/>
      <c r="CF38" s="197"/>
      <c r="CG38" s="197"/>
      <c r="CH38" s="197"/>
      <c r="CI38" s="197"/>
      <c r="CJ38" s="197"/>
      <c r="CK38" s="197"/>
      <c r="CL38" s="197"/>
      <c r="CM38" s="198"/>
      <c r="CN38" s="1647"/>
      <c r="CO38" s="1648"/>
      <c r="CP38" s="1648"/>
      <c r="CQ38" s="1648"/>
      <c r="CR38" s="1648"/>
      <c r="CS38" s="1648"/>
      <c r="CT38" s="1648"/>
      <c r="CU38" s="1648"/>
      <c r="CV38" s="1648"/>
      <c r="CW38" s="1648"/>
      <c r="CX38" s="1648"/>
      <c r="CY38" s="1648"/>
      <c r="CZ38" s="1648"/>
      <c r="DA38" s="1648"/>
      <c r="DB38" s="1648"/>
      <c r="DC38" s="1648"/>
      <c r="DD38" s="1648"/>
      <c r="DE38" s="1648"/>
      <c r="DF38" s="1648"/>
      <c r="DG38" s="1648"/>
      <c r="DH38" s="1648"/>
      <c r="DI38" s="1648"/>
      <c r="DJ38" s="1648"/>
      <c r="DK38" s="1648"/>
      <c r="DL38" s="1648"/>
      <c r="DM38" s="1648"/>
      <c r="DN38" s="1648"/>
      <c r="DO38" s="1649"/>
      <c r="DP38" s="1590"/>
      <c r="DQ38" s="1591"/>
      <c r="DR38" s="1591"/>
      <c r="DS38" s="1591"/>
      <c r="DT38" s="1591"/>
      <c r="DU38" s="1591"/>
      <c r="DV38" s="1591"/>
      <c r="DW38" s="1591"/>
      <c r="DX38" s="1591"/>
      <c r="DY38" s="1591"/>
      <c r="DZ38" s="1591"/>
      <c r="EA38" s="1591"/>
      <c r="EB38" s="1591"/>
      <c r="EC38" s="1591"/>
      <c r="ED38" s="1591"/>
      <c r="EE38" s="1591"/>
      <c r="EF38" s="1591"/>
      <c r="EG38" s="1591"/>
      <c r="EH38" s="1591"/>
      <c r="EI38" s="1591"/>
      <c r="EJ38" s="1591"/>
      <c r="EK38" s="1591"/>
      <c r="EL38" s="1591"/>
      <c r="EM38" s="1591"/>
      <c r="EN38" s="1591"/>
      <c r="EO38" s="1591"/>
      <c r="EP38" s="1591"/>
      <c r="EQ38" s="1591"/>
      <c r="ER38" s="1591"/>
      <c r="ES38" s="1591"/>
      <c r="ET38" s="1591"/>
      <c r="EU38" s="1591"/>
      <c r="EV38" s="1591"/>
      <c r="EW38" s="1591"/>
      <c r="EX38" s="1591"/>
      <c r="EY38" s="1591"/>
      <c r="EZ38" s="1591"/>
      <c r="FA38" s="1591"/>
      <c r="FB38" s="1591"/>
      <c r="FC38" s="1591"/>
      <c r="FD38" s="1591"/>
      <c r="FE38" s="1591"/>
      <c r="FF38" s="1591"/>
      <c r="FG38" s="1591"/>
      <c r="FH38" s="1591"/>
      <c r="FI38" s="1591"/>
      <c r="FJ38" s="1591"/>
      <c r="FK38" s="1591"/>
    </row>
    <row r="39" spans="1:167" s="195" customFormat="1" ht="14.25" customHeight="1">
      <c r="A39" s="1632"/>
      <c r="B39" s="1577"/>
      <c r="C39" s="1577"/>
      <c r="D39" s="1577"/>
      <c r="E39" s="1577"/>
      <c r="F39" s="1577"/>
      <c r="G39" s="1577"/>
      <c r="H39" s="1577"/>
      <c r="I39" s="1577"/>
      <c r="J39" s="1577"/>
      <c r="K39" s="1577"/>
      <c r="L39" s="1577"/>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c r="AN39" s="1577"/>
      <c r="AO39" s="1575"/>
      <c r="AP39" s="1575"/>
      <c r="AQ39" s="1575"/>
      <c r="AR39" s="1575"/>
      <c r="AS39" s="1575"/>
      <c r="AT39" s="1575"/>
      <c r="AU39" s="1575"/>
      <c r="AV39" s="1575"/>
      <c r="AW39" s="1575"/>
      <c r="AX39" s="1575"/>
      <c r="AY39" s="1577"/>
      <c r="AZ39" s="1577"/>
      <c r="BA39" s="1577"/>
      <c r="BB39" s="1577"/>
      <c r="BC39" s="1577"/>
      <c r="BD39" s="1577"/>
      <c r="BE39" s="1577"/>
      <c r="BF39" s="1577"/>
      <c r="BG39" s="1577"/>
      <c r="BH39" s="1577"/>
      <c r="BI39" s="1569" t="s">
        <v>1269</v>
      </c>
      <c r="BJ39" s="1569"/>
      <c r="BK39" s="1569"/>
      <c r="BL39" s="1569"/>
      <c r="BM39" s="1569"/>
      <c r="BN39" s="1569"/>
      <c r="BO39" s="1569"/>
      <c r="BP39" s="1569"/>
      <c r="BQ39" s="1569"/>
      <c r="BR39" s="1569"/>
      <c r="BS39" s="1569" t="s">
        <v>1880</v>
      </c>
      <c r="BT39" s="1569"/>
      <c r="BU39" s="1569"/>
      <c r="BV39" s="1569"/>
      <c r="BW39" s="1569"/>
      <c r="BX39" s="1569"/>
      <c r="BY39" s="1569"/>
      <c r="BZ39" s="1569"/>
      <c r="CA39" s="1569"/>
      <c r="CB39" s="1569"/>
      <c r="CC39" s="1569"/>
      <c r="CD39" s="1569"/>
      <c r="CE39" s="1569"/>
      <c r="CF39" s="1569"/>
      <c r="CG39" s="1569"/>
      <c r="CH39" s="1569"/>
      <c r="CI39" s="1569"/>
      <c r="CJ39" s="1569"/>
      <c r="CK39" s="1569"/>
      <c r="CL39" s="1569"/>
      <c r="CM39" s="1569"/>
      <c r="CN39" s="1570" t="s">
        <v>1269</v>
      </c>
      <c r="CO39" s="1571"/>
      <c r="CP39" s="1571"/>
      <c r="CQ39" s="1571"/>
      <c r="CR39" s="1571"/>
      <c r="CS39" s="1571"/>
      <c r="CT39" s="1571"/>
      <c r="CU39" s="1571"/>
      <c r="CV39" s="1571"/>
      <c r="CW39" s="1571"/>
      <c r="CX39" s="1571"/>
      <c r="CY39" s="1571"/>
      <c r="CZ39" s="1571"/>
      <c r="DA39" s="1572"/>
      <c r="DB39" s="1570" t="s">
        <v>1880</v>
      </c>
      <c r="DC39" s="1571"/>
      <c r="DD39" s="1571"/>
      <c r="DE39" s="1571"/>
      <c r="DF39" s="1571"/>
      <c r="DG39" s="1571"/>
      <c r="DH39" s="1571"/>
      <c r="DI39" s="1571"/>
      <c r="DJ39" s="1571"/>
      <c r="DK39" s="1571"/>
      <c r="DL39" s="1571"/>
      <c r="DM39" s="1571"/>
      <c r="DN39" s="1571"/>
      <c r="DO39" s="1572"/>
      <c r="DP39" s="1569" t="s">
        <v>1881</v>
      </c>
      <c r="DQ39" s="1569"/>
      <c r="DR39" s="1569"/>
      <c r="DS39" s="1569"/>
      <c r="DT39" s="1569"/>
      <c r="DU39" s="1569"/>
      <c r="DV39" s="1569"/>
      <c r="DW39" s="1569"/>
      <c r="DX39" s="1569"/>
      <c r="DY39" s="1569"/>
      <c r="DZ39" s="1569"/>
      <c r="EA39" s="1569"/>
      <c r="EB39" s="1569"/>
      <c r="EC39" s="1569"/>
      <c r="ED39" s="1569"/>
      <c r="EE39" s="1569"/>
      <c r="EF39" s="1569"/>
      <c r="EG39" s="1569"/>
      <c r="EH39" s="1569"/>
      <c r="EI39" s="1569"/>
      <c r="EJ39" s="1569"/>
      <c r="EK39" s="1569"/>
      <c r="EL39" s="1569"/>
      <c r="EM39" s="1569"/>
      <c r="EN39" s="1569" t="s">
        <v>1882</v>
      </c>
      <c r="EO39" s="1569"/>
      <c r="EP39" s="1569"/>
      <c r="EQ39" s="1569"/>
      <c r="ER39" s="1569"/>
      <c r="ES39" s="1569"/>
      <c r="ET39" s="1569"/>
      <c r="EU39" s="1569"/>
      <c r="EV39" s="1569"/>
      <c r="EW39" s="1569"/>
      <c r="EX39" s="1569"/>
      <c r="EY39" s="1569"/>
      <c r="EZ39" s="1569"/>
      <c r="FA39" s="1569"/>
      <c r="FB39" s="1569"/>
      <c r="FC39" s="1569"/>
      <c r="FD39" s="1569"/>
      <c r="FE39" s="1569"/>
      <c r="FF39" s="1569"/>
      <c r="FG39" s="1569"/>
      <c r="FH39" s="1569"/>
      <c r="FI39" s="1569"/>
      <c r="FJ39" s="1569"/>
      <c r="FK39" s="1570"/>
    </row>
    <row r="40" spans="1:167" s="536" customFormat="1" ht="11.1" customHeight="1" thickBot="1">
      <c r="A40" s="1572">
        <v>1</v>
      </c>
      <c r="B40" s="1569"/>
      <c r="C40" s="1569"/>
      <c r="D40" s="1569"/>
      <c r="E40" s="1569"/>
      <c r="F40" s="1569"/>
      <c r="G40" s="1569"/>
      <c r="H40" s="1569"/>
      <c r="I40" s="1569"/>
      <c r="J40" s="1569"/>
      <c r="K40" s="1569"/>
      <c r="L40" s="1569"/>
      <c r="M40" s="1569"/>
      <c r="N40" s="1569"/>
      <c r="O40" s="1569"/>
      <c r="P40" s="1569"/>
      <c r="Q40" s="1569"/>
      <c r="R40" s="1569"/>
      <c r="S40" s="1569"/>
      <c r="T40" s="1569"/>
      <c r="U40" s="1569"/>
      <c r="V40" s="1569"/>
      <c r="W40" s="1569"/>
      <c r="X40" s="1569"/>
      <c r="Y40" s="1569"/>
      <c r="Z40" s="1569"/>
      <c r="AA40" s="1569"/>
      <c r="AB40" s="1569"/>
      <c r="AC40" s="1569"/>
      <c r="AD40" s="1569"/>
      <c r="AE40" s="1613">
        <v>2</v>
      </c>
      <c r="AF40" s="1613"/>
      <c r="AG40" s="1613"/>
      <c r="AH40" s="1613"/>
      <c r="AI40" s="1613"/>
      <c r="AJ40" s="1613"/>
      <c r="AK40" s="1613"/>
      <c r="AL40" s="1613"/>
      <c r="AM40" s="1613"/>
      <c r="AN40" s="1613"/>
      <c r="AO40" s="1613">
        <v>3</v>
      </c>
      <c r="AP40" s="1613"/>
      <c r="AQ40" s="1613"/>
      <c r="AR40" s="1613"/>
      <c r="AS40" s="1613"/>
      <c r="AT40" s="1613"/>
      <c r="AU40" s="1613"/>
      <c r="AV40" s="1613"/>
      <c r="AW40" s="1613"/>
      <c r="AX40" s="1613"/>
      <c r="AY40" s="1613">
        <v>4</v>
      </c>
      <c r="AZ40" s="1613"/>
      <c r="BA40" s="1613"/>
      <c r="BB40" s="1613"/>
      <c r="BC40" s="1613"/>
      <c r="BD40" s="1613"/>
      <c r="BE40" s="1613"/>
      <c r="BF40" s="1613"/>
      <c r="BG40" s="1613"/>
      <c r="BH40" s="1613"/>
      <c r="BI40" s="1555">
        <v>5</v>
      </c>
      <c r="BJ40" s="1555"/>
      <c r="BK40" s="1555"/>
      <c r="BL40" s="1555"/>
      <c r="BM40" s="1555"/>
      <c r="BN40" s="1555"/>
      <c r="BO40" s="1555"/>
      <c r="BP40" s="1555"/>
      <c r="BQ40" s="1555"/>
      <c r="BR40" s="1555"/>
      <c r="BS40" s="1613">
        <v>6</v>
      </c>
      <c r="BT40" s="1613"/>
      <c r="BU40" s="1613"/>
      <c r="BV40" s="1613"/>
      <c r="BW40" s="1613"/>
      <c r="BX40" s="1613"/>
      <c r="BY40" s="1613"/>
      <c r="BZ40" s="1613"/>
      <c r="CA40" s="1613"/>
      <c r="CB40" s="1613"/>
      <c r="CC40" s="1613"/>
      <c r="CD40" s="1613"/>
      <c r="CE40" s="1613"/>
      <c r="CF40" s="1613"/>
      <c r="CG40" s="1613"/>
      <c r="CH40" s="1613"/>
      <c r="CI40" s="1613"/>
      <c r="CJ40" s="1613"/>
      <c r="CK40" s="1613"/>
      <c r="CL40" s="1613"/>
      <c r="CM40" s="1613"/>
      <c r="CN40" s="1555">
        <v>7</v>
      </c>
      <c r="CO40" s="1555"/>
      <c r="CP40" s="1555"/>
      <c r="CQ40" s="1555"/>
      <c r="CR40" s="1555"/>
      <c r="CS40" s="1555"/>
      <c r="CT40" s="1555"/>
      <c r="CU40" s="1555"/>
      <c r="CV40" s="1555"/>
      <c r="CW40" s="1555"/>
      <c r="CX40" s="1555"/>
      <c r="CY40" s="1555"/>
      <c r="CZ40" s="1555"/>
      <c r="DA40" s="1555"/>
      <c r="DB40" s="1555">
        <v>8</v>
      </c>
      <c r="DC40" s="1555"/>
      <c r="DD40" s="1555"/>
      <c r="DE40" s="1555"/>
      <c r="DF40" s="1555"/>
      <c r="DG40" s="1555"/>
      <c r="DH40" s="1555"/>
      <c r="DI40" s="1555"/>
      <c r="DJ40" s="1555"/>
      <c r="DK40" s="1555"/>
      <c r="DL40" s="1555"/>
      <c r="DM40" s="1555"/>
      <c r="DN40" s="1555"/>
      <c r="DO40" s="1555"/>
      <c r="DP40" s="1555">
        <v>9</v>
      </c>
      <c r="DQ40" s="1555"/>
      <c r="DR40" s="1555"/>
      <c r="DS40" s="1555"/>
      <c r="DT40" s="1555"/>
      <c r="DU40" s="1555"/>
      <c r="DV40" s="1555"/>
      <c r="DW40" s="1555"/>
      <c r="DX40" s="1555"/>
      <c r="DY40" s="1555"/>
      <c r="DZ40" s="1555"/>
      <c r="EA40" s="1555"/>
      <c r="EB40" s="1555"/>
      <c r="EC40" s="1555"/>
      <c r="ED40" s="1555"/>
      <c r="EE40" s="1555"/>
      <c r="EF40" s="1555"/>
      <c r="EG40" s="1555"/>
      <c r="EH40" s="1555"/>
      <c r="EI40" s="1555"/>
      <c r="EJ40" s="1555"/>
      <c r="EK40" s="1555"/>
      <c r="EL40" s="1555"/>
      <c r="EM40" s="1555"/>
      <c r="EN40" s="1555">
        <v>10</v>
      </c>
      <c r="EO40" s="1555"/>
      <c r="EP40" s="1555"/>
      <c r="EQ40" s="1555"/>
      <c r="ER40" s="1555"/>
      <c r="ES40" s="1555"/>
      <c r="ET40" s="1555"/>
      <c r="EU40" s="1555"/>
      <c r="EV40" s="1555"/>
      <c r="EW40" s="1555"/>
      <c r="EX40" s="1555"/>
      <c r="EY40" s="1555"/>
      <c r="EZ40" s="1555"/>
      <c r="FA40" s="1555"/>
      <c r="FB40" s="1555"/>
      <c r="FC40" s="1555"/>
      <c r="FD40" s="1555"/>
      <c r="FE40" s="1555"/>
      <c r="FF40" s="1555"/>
      <c r="FG40" s="1555"/>
      <c r="FH40" s="1555"/>
      <c r="FI40" s="1555"/>
      <c r="FJ40" s="1555"/>
      <c r="FK40" s="1582"/>
    </row>
    <row r="41" spans="1:167" s="536" customFormat="1" ht="11.25" customHeight="1">
      <c r="A41" s="1626"/>
      <c r="B41" s="1627"/>
      <c r="C41" s="1627"/>
      <c r="D41" s="1627"/>
      <c r="E41" s="1627"/>
      <c r="F41" s="1627"/>
      <c r="G41" s="1627"/>
      <c r="H41" s="1627"/>
      <c r="I41" s="1627"/>
      <c r="J41" s="1627"/>
      <c r="K41" s="1627"/>
      <c r="L41" s="1627"/>
      <c r="M41" s="1627"/>
      <c r="N41" s="1627"/>
      <c r="O41" s="1627"/>
      <c r="P41" s="1627"/>
      <c r="Q41" s="1627"/>
      <c r="R41" s="1627"/>
      <c r="S41" s="1627"/>
      <c r="T41" s="1627"/>
      <c r="U41" s="1627"/>
      <c r="V41" s="1627"/>
      <c r="W41" s="1627"/>
      <c r="X41" s="1627"/>
      <c r="Y41" s="1627"/>
      <c r="Z41" s="1627"/>
      <c r="AA41" s="1627"/>
      <c r="AB41" s="1627"/>
      <c r="AC41" s="1627"/>
      <c r="AD41" s="1628"/>
      <c r="AE41" s="1606"/>
      <c r="AF41" s="1607"/>
      <c r="AG41" s="1607"/>
      <c r="AH41" s="1607"/>
      <c r="AI41" s="1607"/>
      <c r="AJ41" s="1607"/>
      <c r="AK41" s="1607"/>
      <c r="AL41" s="1607"/>
      <c r="AM41" s="1607"/>
      <c r="AN41" s="1607"/>
      <c r="AO41" s="1607"/>
      <c r="AP41" s="1607"/>
      <c r="AQ41" s="1607"/>
      <c r="AR41" s="1607"/>
      <c r="AS41" s="1607"/>
      <c r="AT41" s="1607"/>
      <c r="AU41" s="1607"/>
      <c r="AV41" s="1607"/>
      <c r="AW41" s="1607"/>
      <c r="AX41" s="1607"/>
      <c r="AY41" s="1607"/>
      <c r="AZ41" s="1607"/>
      <c r="BA41" s="1607"/>
      <c r="BB41" s="1607"/>
      <c r="BC41" s="1607"/>
      <c r="BD41" s="1607"/>
      <c r="BE41" s="1607"/>
      <c r="BF41" s="1607"/>
      <c r="BG41" s="1607"/>
      <c r="BH41" s="1607"/>
      <c r="BI41" s="1607"/>
      <c r="BJ41" s="1607"/>
      <c r="BK41" s="1607"/>
      <c r="BL41" s="1607"/>
      <c r="BM41" s="1607"/>
      <c r="BN41" s="1607"/>
      <c r="BO41" s="1607"/>
      <c r="BP41" s="1607"/>
      <c r="BQ41" s="1607"/>
      <c r="BR41" s="1607"/>
      <c r="BS41" s="1565"/>
      <c r="BT41" s="1565"/>
      <c r="BU41" s="1565"/>
      <c r="BV41" s="1565"/>
      <c r="BW41" s="1565"/>
      <c r="BX41" s="1565"/>
      <c r="BY41" s="1565"/>
      <c r="BZ41" s="1565"/>
      <c r="CA41" s="1565"/>
      <c r="CB41" s="1565"/>
      <c r="CC41" s="1565"/>
      <c r="CD41" s="1565"/>
      <c r="CE41" s="1565"/>
      <c r="CF41" s="1565"/>
      <c r="CG41" s="1565"/>
      <c r="CH41" s="1565"/>
      <c r="CI41" s="1565"/>
      <c r="CJ41" s="1565"/>
      <c r="CK41" s="1565"/>
      <c r="CL41" s="1565"/>
      <c r="CM41" s="1565"/>
      <c r="CN41" s="1607"/>
      <c r="CO41" s="1607"/>
      <c r="CP41" s="1607"/>
      <c r="CQ41" s="1607"/>
      <c r="CR41" s="1607"/>
      <c r="CS41" s="1607"/>
      <c r="CT41" s="1607"/>
      <c r="CU41" s="1607"/>
      <c r="CV41" s="1607"/>
      <c r="CW41" s="1607"/>
      <c r="CX41" s="1607"/>
      <c r="CY41" s="1607"/>
      <c r="CZ41" s="1607"/>
      <c r="DA41" s="1607"/>
      <c r="DB41" s="1565"/>
      <c r="DC41" s="1565"/>
      <c r="DD41" s="1565"/>
      <c r="DE41" s="1565"/>
      <c r="DF41" s="1565"/>
      <c r="DG41" s="1565"/>
      <c r="DH41" s="1565"/>
      <c r="DI41" s="1565"/>
      <c r="DJ41" s="1565"/>
      <c r="DK41" s="1565"/>
      <c r="DL41" s="1565"/>
      <c r="DM41" s="1565"/>
      <c r="DN41" s="1565"/>
      <c r="DO41" s="1565"/>
      <c r="DP41" s="1565"/>
      <c r="DQ41" s="1565"/>
      <c r="DR41" s="1565"/>
      <c r="DS41" s="1565"/>
      <c r="DT41" s="1565"/>
      <c r="DU41" s="1565"/>
      <c r="DV41" s="1565"/>
      <c r="DW41" s="1565"/>
      <c r="DX41" s="1565"/>
      <c r="DY41" s="1565"/>
      <c r="DZ41" s="1565"/>
      <c r="EA41" s="1565"/>
      <c r="EB41" s="1565"/>
      <c r="EC41" s="1565"/>
      <c r="ED41" s="1565"/>
      <c r="EE41" s="1565"/>
      <c r="EF41" s="1565"/>
      <c r="EG41" s="1565"/>
      <c r="EH41" s="1565"/>
      <c r="EI41" s="1565"/>
      <c r="EJ41" s="1565"/>
      <c r="EK41" s="1565"/>
      <c r="EL41" s="1565"/>
      <c r="EM41" s="1565"/>
      <c r="EN41" s="1565"/>
      <c r="EO41" s="1565"/>
      <c r="EP41" s="1565"/>
      <c r="EQ41" s="1565"/>
      <c r="ER41" s="1565"/>
      <c r="ES41" s="1565"/>
      <c r="ET41" s="1565"/>
      <c r="EU41" s="1565"/>
      <c r="EV41" s="1565"/>
      <c r="EW41" s="1565"/>
      <c r="EX41" s="1565"/>
      <c r="EY41" s="1565"/>
      <c r="EZ41" s="1565"/>
      <c r="FA41" s="1565"/>
      <c r="FB41" s="1565"/>
      <c r="FC41" s="1565"/>
      <c r="FD41" s="1565"/>
      <c r="FE41" s="1565"/>
      <c r="FF41" s="1565"/>
      <c r="FG41" s="1565"/>
      <c r="FH41" s="1565"/>
      <c r="FI41" s="1565"/>
      <c r="FJ41" s="1565"/>
      <c r="FK41" s="1625"/>
    </row>
    <row r="42" spans="1:167" s="536" customFormat="1" ht="11.25" customHeight="1" thickBot="1">
      <c r="A42" s="1622"/>
      <c r="B42" s="1622"/>
      <c r="C42" s="1622"/>
      <c r="D42" s="1622"/>
      <c r="E42" s="1622"/>
      <c r="F42" s="1622"/>
      <c r="G42" s="1622"/>
      <c r="H42" s="1622"/>
      <c r="I42" s="1622"/>
      <c r="J42" s="1622"/>
      <c r="K42" s="1622"/>
      <c r="L42" s="1622"/>
      <c r="M42" s="1622"/>
      <c r="N42" s="1622"/>
      <c r="O42" s="1622"/>
      <c r="P42" s="1622"/>
      <c r="Q42" s="1622"/>
      <c r="R42" s="1622"/>
      <c r="S42" s="1622"/>
      <c r="T42" s="1622"/>
      <c r="U42" s="1622"/>
      <c r="V42" s="1622"/>
      <c r="W42" s="1622"/>
      <c r="X42" s="1622"/>
      <c r="Y42" s="1622"/>
      <c r="Z42" s="1622"/>
      <c r="AA42" s="1622"/>
      <c r="AB42" s="1622"/>
      <c r="AC42" s="1622"/>
      <c r="AD42" s="1623"/>
      <c r="AE42" s="1615"/>
      <c r="AF42" s="1614"/>
      <c r="AG42" s="1614"/>
      <c r="AH42" s="1614"/>
      <c r="AI42" s="1614"/>
      <c r="AJ42" s="1614"/>
      <c r="AK42" s="1614"/>
      <c r="AL42" s="1614"/>
      <c r="AM42" s="1614"/>
      <c r="AN42" s="1614"/>
      <c r="AO42" s="1614"/>
      <c r="AP42" s="1614"/>
      <c r="AQ42" s="1614"/>
      <c r="AR42" s="1614"/>
      <c r="AS42" s="1614"/>
      <c r="AT42" s="1614"/>
      <c r="AU42" s="1614"/>
      <c r="AV42" s="1614"/>
      <c r="AW42" s="1614"/>
      <c r="AX42" s="1614"/>
      <c r="AY42" s="1614"/>
      <c r="AZ42" s="1614"/>
      <c r="BA42" s="1614"/>
      <c r="BB42" s="1614"/>
      <c r="BC42" s="1614"/>
      <c r="BD42" s="1614"/>
      <c r="BE42" s="1614"/>
      <c r="BF42" s="1614"/>
      <c r="BG42" s="1614"/>
      <c r="BH42" s="1614"/>
      <c r="BI42" s="1614"/>
      <c r="BJ42" s="1614"/>
      <c r="BK42" s="1614"/>
      <c r="BL42" s="1614"/>
      <c r="BM42" s="1614"/>
      <c r="BN42" s="1614"/>
      <c r="BO42" s="1614"/>
      <c r="BP42" s="1614"/>
      <c r="BQ42" s="1614"/>
      <c r="BR42" s="1614"/>
      <c r="BS42" s="1580"/>
      <c r="BT42" s="1580"/>
      <c r="BU42" s="1580"/>
      <c r="BV42" s="1580"/>
      <c r="BW42" s="1580"/>
      <c r="BX42" s="1580"/>
      <c r="BY42" s="1580"/>
      <c r="BZ42" s="1580"/>
      <c r="CA42" s="1580"/>
      <c r="CB42" s="1580"/>
      <c r="CC42" s="1580"/>
      <c r="CD42" s="1580"/>
      <c r="CE42" s="1580"/>
      <c r="CF42" s="1580"/>
      <c r="CG42" s="1580"/>
      <c r="CH42" s="1580"/>
      <c r="CI42" s="1580"/>
      <c r="CJ42" s="1580"/>
      <c r="CK42" s="1580"/>
      <c r="CL42" s="1580"/>
      <c r="CM42" s="1580"/>
      <c r="CN42" s="1601"/>
      <c r="CO42" s="1601"/>
      <c r="CP42" s="1601"/>
      <c r="CQ42" s="1601"/>
      <c r="CR42" s="1601"/>
      <c r="CS42" s="1601"/>
      <c r="CT42" s="1601"/>
      <c r="CU42" s="1601"/>
      <c r="CV42" s="1601"/>
      <c r="CW42" s="1601"/>
      <c r="CX42" s="1601"/>
      <c r="CY42" s="1601"/>
      <c r="CZ42" s="1601"/>
      <c r="DA42" s="1601"/>
      <c r="DB42" s="1580"/>
      <c r="DC42" s="1580"/>
      <c r="DD42" s="1580"/>
      <c r="DE42" s="1580"/>
      <c r="DF42" s="1580"/>
      <c r="DG42" s="1580"/>
      <c r="DH42" s="1580"/>
      <c r="DI42" s="1580"/>
      <c r="DJ42" s="1580"/>
      <c r="DK42" s="1580"/>
      <c r="DL42" s="1580"/>
      <c r="DM42" s="1580"/>
      <c r="DN42" s="1580"/>
      <c r="DO42" s="1580"/>
      <c r="DP42" s="1580"/>
      <c r="DQ42" s="1580"/>
      <c r="DR42" s="1580"/>
      <c r="DS42" s="1580"/>
      <c r="DT42" s="1580"/>
      <c r="DU42" s="1580"/>
      <c r="DV42" s="1580"/>
      <c r="DW42" s="1580"/>
      <c r="DX42" s="1580"/>
      <c r="DY42" s="1580"/>
      <c r="DZ42" s="1580"/>
      <c r="EA42" s="1580"/>
      <c r="EB42" s="1580"/>
      <c r="EC42" s="1580"/>
      <c r="ED42" s="1580"/>
      <c r="EE42" s="1580"/>
      <c r="EF42" s="1580"/>
      <c r="EG42" s="1580"/>
      <c r="EH42" s="1580"/>
      <c r="EI42" s="1580"/>
      <c r="EJ42" s="1580"/>
      <c r="EK42" s="1580"/>
      <c r="EL42" s="1580"/>
      <c r="EM42" s="1580"/>
      <c r="EN42" s="1580"/>
      <c r="EO42" s="1580"/>
      <c r="EP42" s="1580"/>
      <c r="EQ42" s="1580"/>
      <c r="ER42" s="1580"/>
      <c r="ES42" s="1580"/>
      <c r="ET42" s="1580"/>
      <c r="EU42" s="1580"/>
      <c r="EV42" s="1580"/>
      <c r="EW42" s="1580"/>
      <c r="EX42" s="1580"/>
      <c r="EY42" s="1580"/>
      <c r="EZ42" s="1580"/>
      <c r="FA42" s="1580"/>
      <c r="FB42" s="1580"/>
      <c r="FC42" s="1580"/>
      <c r="FD42" s="1580"/>
      <c r="FE42" s="1580"/>
      <c r="FF42" s="1580"/>
      <c r="FG42" s="1580"/>
      <c r="FH42" s="1580"/>
      <c r="FI42" s="1580"/>
      <c r="FJ42" s="1580"/>
      <c r="FK42" s="1581"/>
    </row>
    <row r="43" spans="1:167" s="184" customFormat="1" ht="12" customHeight="1" thickBot="1">
      <c r="BQ43" s="185" t="s">
        <v>66</v>
      </c>
      <c r="BS43" s="1608"/>
      <c r="BT43" s="1609"/>
      <c r="BU43" s="1609"/>
      <c r="BV43" s="1609"/>
      <c r="BW43" s="1609"/>
      <c r="BX43" s="1609"/>
      <c r="BY43" s="1609"/>
      <c r="BZ43" s="1609"/>
      <c r="CA43" s="1609"/>
      <c r="CB43" s="1609"/>
      <c r="CC43" s="1609"/>
      <c r="CD43" s="1609"/>
      <c r="CE43" s="1609"/>
      <c r="CF43" s="1609"/>
      <c r="CG43" s="1609"/>
      <c r="CH43" s="1609"/>
      <c r="CI43" s="1609"/>
      <c r="CJ43" s="1609"/>
      <c r="CK43" s="1609"/>
      <c r="CL43" s="1609"/>
      <c r="CM43" s="1610"/>
      <c r="CN43" s="1604" t="s">
        <v>1296</v>
      </c>
      <c r="CO43" s="1604"/>
      <c r="CP43" s="1604"/>
      <c r="CQ43" s="1604"/>
      <c r="CR43" s="1604"/>
      <c r="CS43" s="1604"/>
      <c r="CT43" s="1604"/>
      <c r="CU43" s="1604"/>
      <c r="CV43" s="1604"/>
      <c r="CW43" s="1604"/>
      <c r="CX43" s="1604"/>
      <c r="CY43" s="1604"/>
      <c r="CZ43" s="1604"/>
      <c r="DA43" s="1604"/>
      <c r="DB43" s="1605"/>
      <c r="DC43" s="1605"/>
      <c r="DD43" s="1605"/>
      <c r="DE43" s="1605"/>
      <c r="DF43" s="1605"/>
      <c r="DG43" s="1605"/>
      <c r="DH43" s="1605"/>
      <c r="DI43" s="1605"/>
      <c r="DJ43" s="1605"/>
      <c r="DK43" s="1605"/>
      <c r="DL43" s="1605"/>
      <c r="DM43" s="1605"/>
      <c r="DN43" s="1605"/>
      <c r="DO43" s="1605"/>
      <c r="DP43" s="1578"/>
      <c r="DQ43" s="1578"/>
      <c r="DR43" s="1578"/>
      <c r="DS43" s="1578"/>
      <c r="DT43" s="1578"/>
      <c r="DU43" s="1578"/>
      <c r="DV43" s="1578"/>
      <c r="DW43" s="1578"/>
      <c r="DX43" s="1578"/>
      <c r="DY43" s="1578"/>
      <c r="DZ43" s="1578"/>
      <c r="EA43" s="1578"/>
      <c r="EB43" s="1578"/>
      <c r="EC43" s="1578"/>
      <c r="ED43" s="1578"/>
      <c r="EE43" s="1578"/>
      <c r="EF43" s="1578"/>
      <c r="EG43" s="1578"/>
      <c r="EH43" s="1578"/>
      <c r="EI43" s="1578"/>
      <c r="EJ43" s="1578"/>
      <c r="EK43" s="1578"/>
      <c r="EL43" s="1578"/>
      <c r="EM43" s="1578"/>
      <c r="EN43" s="1578"/>
      <c r="EO43" s="1578"/>
      <c r="EP43" s="1578"/>
      <c r="EQ43" s="1578"/>
      <c r="ER43" s="1578"/>
      <c r="ES43" s="1578"/>
      <c r="ET43" s="1578"/>
      <c r="EU43" s="1578"/>
      <c r="EV43" s="1578"/>
      <c r="EW43" s="1578"/>
      <c r="EX43" s="1578"/>
      <c r="EY43" s="1578"/>
      <c r="EZ43" s="1578"/>
      <c r="FA43" s="1578"/>
      <c r="FB43" s="1578"/>
      <c r="FC43" s="1578"/>
      <c r="FD43" s="1578"/>
      <c r="FE43" s="1578"/>
      <c r="FF43" s="1578"/>
      <c r="FG43" s="1578"/>
      <c r="FH43" s="1578"/>
      <c r="FI43" s="1578"/>
      <c r="FJ43" s="1578"/>
      <c r="FK43" s="1579"/>
    </row>
    <row r="44" spans="1:167" ht="5.25" customHeight="1" thickBot="1"/>
    <row r="45" spans="1:167" s="536" customFormat="1" ht="10.5" customHeight="1">
      <c r="ET45" s="537"/>
      <c r="EU45" s="537"/>
      <c r="EX45" s="537" t="s">
        <v>1883</v>
      </c>
      <c r="EZ45" s="1559"/>
      <c r="FA45" s="1560"/>
      <c r="FB45" s="1560"/>
      <c r="FC45" s="1560"/>
      <c r="FD45" s="1560"/>
      <c r="FE45" s="1560"/>
      <c r="FF45" s="1560"/>
      <c r="FG45" s="1560"/>
      <c r="FH45" s="1560"/>
      <c r="FI45" s="1560"/>
      <c r="FJ45" s="1560"/>
      <c r="FK45" s="1561"/>
    </row>
    <row r="46" spans="1:167" s="536" customFormat="1" ht="10.5" customHeight="1" thickBot="1">
      <c r="A46" s="536" t="s">
        <v>1884</v>
      </c>
      <c r="N46" s="1599"/>
      <c r="O46" s="1599"/>
      <c r="P46" s="1599"/>
      <c r="Q46" s="1599"/>
      <c r="R46" s="1599"/>
      <c r="S46" s="1599"/>
      <c r="T46" s="1599"/>
      <c r="U46" s="1599"/>
      <c r="V46" s="1599"/>
      <c r="W46" s="1599"/>
      <c r="X46" s="1599"/>
      <c r="Y46" s="1599"/>
      <c r="Z46" s="1599"/>
      <c r="AA46" s="1599"/>
      <c r="AB46" s="1599"/>
      <c r="AC46" s="1599"/>
      <c r="AD46" s="1599"/>
      <c r="AE46" s="1599"/>
      <c r="AF46" s="1599"/>
      <c r="AH46" s="1599"/>
      <c r="AI46" s="1599"/>
      <c r="AJ46" s="1599"/>
      <c r="AK46" s="1599"/>
      <c r="AL46" s="1599"/>
      <c r="AM46" s="1599"/>
      <c r="AN46" s="1599"/>
      <c r="AO46" s="1599"/>
      <c r="AP46" s="1599"/>
      <c r="AQ46" s="1599"/>
      <c r="AR46" s="1599"/>
      <c r="AS46" s="1599"/>
      <c r="AT46" s="1599"/>
      <c r="AU46" s="1599"/>
      <c r="AV46" s="1599"/>
      <c r="AW46" s="1599"/>
      <c r="AX46" s="1599"/>
      <c r="AY46" s="1599"/>
      <c r="AZ46" s="1599"/>
      <c r="BA46" s="1599"/>
      <c r="BB46" s="1599"/>
      <c r="BC46" s="1599"/>
      <c r="BD46" s="1599"/>
      <c r="BE46" s="1599"/>
      <c r="BF46" s="1599"/>
      <c r="ET46" s="537"/>
      <c r="EU46" s="537"/>
      <c r="EW46" s="184"/>
      <c r="EX46" s="537" t="s">
        <v>1885</v>
      </c>
      <c r="EZ46" s="1618"/>
      <c r="FA46" s="1619"/>
      <c r="FB46" s="1619"/>
      <c r="FC46" s="1619"/>
      <c r="FD46" s="1619"/>
      <c r="FE46" s="1619"/>
      <c r="FF46" s="1619"/>
      <c r="FG46" s="1619"/>
      <c r="FH46" s="1619"/>
      <c r="FI46" s="1619"/>
      <c r="FJ46" s="1619"/>
      <c r="FK46" s="1620"/>
    </row>
    <row r="47" spans="1:167" s="177" customFormat="1" ht="10.5" customHeight="1" thickBot="1">
      <c r="N47" s="1600" t="s">
        <v>1846</v>
      </c>
      <c r="O47" s="1600"/>
      <c r="P47" s="1600"/>
      <c r="Q47" s="1600"/>
      <c r="R47" s="1600"/>
      <c r="S47" s="1600"/>
      <c r="T47" s="1600"/>
      <c r="U47" s="1600"/>
      <c r="V47" s="1600"/>
      <c r="W47" s="1600"/>
      <c r="X47" s="1600"/>
      <c r="Y47" s="1600"/>
      <c r="Z47" s="1600"/>
      <c r="AA47" s="1600"/>
      <c r="AB47" s="1600"/>
      <c r="AC47" s="1600"/>
      <c r="AD47" s="1600"/>
      <c r="AE47" s="1600"/>
      <c r="AF47" s="1600"/>
      <c r="AH47" s="1621" t="s">
        <v>1847</v>
      </c>
      <c r="AI47" s="1621"/>
      <c r="AJ47" s="1621"/>
      <c r="AK47" s="1621"/>
      <c r="AL47" s="1621"/>
      <c r="AM47" s="1621"/>
      <c r="AN47" s="1621"/>
      <c r="AO47" s="1621"/>
      <c r="AP47" s="1621"/>
      <c r="AQ47" s="1621"/>
      <c r="AR47" s="1621"/>
      <c r="AS47" s="1621"/>
      <c r="AT47" s="1621"/>
      <c r="AU47" s="1621"/>
      <c r="AV47" s="1621"/>
      <c r="AW47" s="1621"/>
      <c r="AX47" s="1621"/>
      <c r="AY47" s="1621"/>
      <c r="AZ47" s="1621"/>
      <c r="BA47" s="1621"/>
      <c r="BB47" s="1621"/>
      <c r="BC47" s="1621"/>
      <c r="BD47" s="1621"/>
      <c r="BE47" s="1621"/>
      <c r="BF47" s="1621"/>
    </row>
    <row r="48" spans="1:167" ht="10.5" customHeight="1">
      <c r="A48" s="1624" t="s">
        <v>1083</v>
      </c>
      <c r="B48" s="1624"/>
      <c r="C48" s="1624"/>
      <c r="D48" s="1624"/>
      <c r="E48" s="1624"/>
      <c r="F48" s="1624"/>
      <c r="G48" s="1624"/>
      <c r="H48" s="1624"/>
      <c r="I48" s="1624"/>
      <c r="J48" s="1624"/>
      <c r="K48" s="1624"/>
      <c r="L48" s="1624"/>
      <c r="M48" s="1624"/>
      <c r="N48" s="536"/>
      <c r="O48" s="536"/>
      <c r="P48" s="536"/>
      <c r="Q48" s="536"/>
      <c r="R48" s="536"/>
      <c r="S48" s="536"/>
      <c r="T48" s="536"/>
      <c r="U48" s="536"/>
      <c r="V48" s="536"/>
      <c r="W48" s="536"/>
      <c r="X48" s="536"/>
      <c r="Y48" s="536"/>
      <c r="Z48" s="536"/>
      <c r="AA48" s="536"/>
      <c r="AB48" s="536"/>
      <c r="AC48" s="536"/>
      <c r="AD48" s="536"/>
      <c r="AE48" s="536"/>
      <c r="AF48" s="536"/>
      <c r="AG48" s="536"/>
      <c r="AH48" s="536"/>
      <c r="AI48" s="536"/>
      <c r="AJ48" s="536"/>
      <c r="AK48" s="536"/>
      <c r="AL48" s="536"/>
      <c r="AM48" s="536"/>
      <c r="AN48" s="536"/>
      <c r="AO48" s="536"/>
      <c r="AP48" s="536"/>
      <c r="AQ48" s="536"/>
      <c r="AR48" s="536"/>
      <c r="AS48" s="536"/>
      <c r="AT48" s="536"/>
      <c r="AU48" s="536"/>
      <c r="AV48" s="536"/>
      <c r="AW48" s="536"/>
      <c r="AX48" s="536"/>
      <c r="AY48" s="536"/>
      <c r="AZ48" s="536"/>
      <c r="BA48" s="536"/>
      <c r="BB48" s="536"/>
      <c r="BC48" s="536"/>
      <c r="BD48" s="536"/>
      <c r="BE48" s="536"/>
      <c r="BF48" s="536"/>
      <c r="BG48" s="536"/>
      <c r="BH48" s="536"/>
      <c r="BI48" s="536"/>
      <c r="BJ48" s="536"/>
      <c r="BK48" s="536"/>
      <c r="BL48" s="536"/>
      <c r="BM48" s="536"/>
      <c r="BN48" s="536"/>
      <c r="BO48" s="536"/>
      <c r="BP48" s="536"/>
      <c r="BQ48" s="536"/>
      <c r="BR48" s="536"/>
      <c r="BS48" s="536"/>
      <c r="BT48" s="536"/>
      <c r="BU48" s="536"/>
      <c r="BV48" s="536"/>
      <c r="BX48" s="1602" t="s">
        <v>1886</v>
      </c>
      <c r="BY48" s="1603"/>
      <c r="BZ48" s="1603"/>
      <c r="CA48" s="1603"/>
      <c r="CB48" s="1603"/>
      <c r="CC48" s="1603"/>
      <c r="CD48" s="1603"/>
      <c r="CE48" s="1603"/>
      <c r="CF48" s="1603"/>
      <c r="CG48" s="1603"/>
      <c r="CH48" s="1603"/>
      <c r="CI48" s="1603"/>
      <c r="CJ48" s="1603"/>
      <c r="CK48" s="1603"/>
      <c r="CL48" s="1603"/>
      <c r="CM48" s="1603"/>
      <c r="CN48" s="1603"/>
      <c r="CO48" s="1603"/>
      <c r="CP48" s="1603"/>
      <c r="CQ48" s="1603"/>
      <c r="CR48" s="1603"/>
      <c r="CS48" s="1603"/>
      <c r="CT48" s="1603"/>
      <c r="CU48" s="1603"/>
      <c r="CV48" s="1603"/>
      <c r="CW48" s="1603"/>
      <c r="CX48" s="1603"/>
      <c r="CY48" s="1603"/>
      <c r="CZ48" s="1603"/>
      <c r="DA48" s="1603"/>
      <c r="DB48" s="1603"/>
      <c r="DC48" s="1603"/>
      <c r="DD48" s="1603"/>
      <c r="DE48" s="1603"/>
      <c r="DF48" s="1603"/>
      <c r="DG48" s="1603"/>
      <c r="DH48" s="1603"/>
      <c r="DI48" s="1603"/>
      <c r="DJ48" s="1603"/>
      <c r="DK48" s="1603"/>
      <c r="DL48" s="1603"/>
      <c r="DM48" s="1603"/>
      <c r="DN48" s="1603"/>
      <c r="DO48" s="1603"/>
      <c r="DP48" s="1603"/>
      <c r="DQ48" s="1603"/>
      <c r="DR48" s="1603"/>
      <c r="DS48" s="1603"/>
      <c r="DT48" s="1603"/>
      <c r="DU48" s="1603"/>
      <c r="DV48" s="1603"/>
      <c r="DW48" s="1603"/>
      <c r="DX48" s="1603"/>
      <c r="DY48" s="1603"/>
      <c r="DZ48" s="1603"/>
      <c r="EA48" s="1603"/>
      <c r="EB48" s="1603"/>
      <c r="EC48" s="1603"/>
      <c r="ED48" s="1603"/>
      <c r="EE48" s="1603"/>
      <c r="EF48" s="1603"/>
      <c r="EG48" s="1603"/>
      <c r="EH48" s="1603"/>
      <c r="EI48" s="1603"/>
      <c r="EJ48" s="1603"/>
      <c r="EK48" s="1603"/>
      <c r="EL48" s="1603"/>
      <c r="EM48" s="540"/>
      <c r="EN48" s="540"/>
      <c r="EO48" s="540"/>
      <c r="EP48" s="540"/>
      <c r="EQ48" s="540"/>
      <c r="ER48" s="540"/>
      <c r="ES48" s="540"/>
      <c r="ET48" s="540"/>
      <c r="EU48" s="540"/>
      <c r="EV48" s="540"/>
      <c r="EW48" s="540"/>
      <c r="EX48" s="540"/>
      <c r="EY48" s="540"/>
      <c r="EZ48" s="540"/>
      <c r="FA48" s="540"/>
      <c r="FB48" s="540"/>
      <c r="FC48" s="540"/>
      <c r="FD48" s="540"/>
      <c r="FE48" s="540"/>
      <c r="FF48" s="540"/>
      <c r="FG48" s="540"/>
      <c r="FH48" s="540"/>
      <c r="FI48" s="540"/>
      <c r="FJ48" s="540"/>
      <c r="FK48" s="200"/>
    </row>
    <row r="49" spans="1:167" ht="10.5" customHeight="1">
      <c r="A49" s="1624"/>
      <c r="B49" s="1624"/>
      <c r="C49" s="1624"/>
      <c r="D49" s="1624"/>
      <c r="E49" s="1624"/>
      <c r="F49" s="1624"/>
      <c r="G49" s="1624"/>
      <c r="H49" s="1624"/>
      <c r="I49" s="1624"/>
      <c r="J49" s="1624"/>
      <c r="K49" s="1624"/>
      <c r="L49" s="1624"/>
      <c r="M49" s="1624"/>
      <c r="N49" s="536"/>
      <c r="AL49" s="536"/>
      <c r="AM49" s="536"/>
      <c r="AN49" s="536"/>
      <c r="AO49" s="536"/>
      <c r="AP49" s="536"/>
      <c r="AQ49" s="536"/>
      <c r="AR49" s="536"/>
      <c r="AS49" s="536"/>
      <c r="AT49" s="536"/>
      <c r="AU49" s="536"/>
      <c r="AV49" s="536"/>
      <c r="AW49" s="536"/>
      <c r="AX49" s="536"/>
      <c r="AY49" s="536"/>
      <c r="AZ49" s="536"/>
      <c r="BA49" s="536"/>
      <c r="BB49" s="536"/>
      <c r="BC49" s="536"/>
      <c r="BD49" s="536"/>
      <c r="BE49" s="536"/>
      <c r="BF49" s="536"/>
      <c r="BG49" s="536"/>
      <c r="BH49" s="536"/>
      <c r="BI49" s="536"/>
      <c r="BJ49" s="536"/>
      <c r="BK49" s="536"/>
      <c r="BL49" s="536"/>
      <c r="BM49" s="536"/>
      <c r="BN49" s="536"/>
      <c r="BO49" s="536"/>
      <c r="BP49" s="536"/>
      <c r="BQ49" s="536"/>
      <c r="BR49" s="536"/>
      <c r="BS49" s="536"/>
      <c r="BT49" s="536"/>
      <c r="BU49" s="536"/>
      <c r="BV49" s="536"/>
      <c r="BX49" s="1611" t="s">
        <v>1887</v>
      </c>
      <c r="BY49" s="1612"/>
      <c r="BZ49" s="1612"/>
      <c r="CA49" s="1612"/>
      <c r="CB49" s="1612"/>
      <c r="CC49" s="1612"/>
      <c r="CD49" s="1612"/>
      <c r="CE49" s="1612"/>
      <c r="CF49" s="1612"/>
      <c r="CG49" s="1612"/>
      <c r="CH49" s="1612"/>
      <c r="CI49" s="1612"/>
      <c r="CJ49" s="1612"/>
      <c r="CK49" s="1612"/>
      <c r="CL49" s="1612"/>
      <c r="CM49" s="1612"/>
      <c r="CN49" s="1612"/>
      <c r="CO49" s="1612"/>
      <c r="CP49" s="1612"/>
      <c r="CQ49" s="1612"/>
      <c r="CR49" s="1612"/>
      <c r="CS49" s="1612"/>
      <c r="CT49" s="1612"/>
      <c r="CU49" s="1612"/>
      <c r="CV49" s="1612"/>
      <c r="CW49" s="1612"/>
      <c r="CX49" s="1612"/>
      <c r="CY49" s="1612"/>
      <c r="CZ49" s="1612"/>
      <c r="DA49" s="1612"/>
      <c r="DB49" s="1612"/>
      <c r="DC49" s="1612"/>
      <c r="DD49" s="1612"/>
      <c r="DE49" s="1612"/>
      <c r="DF49" s="1612"/>
      <c r="DG49" s="1612"/>
      <c r="DH49" s="1612"/>
      <c r="DI49" s="1612"/>
      <c r="DJ49" s="1612"/>
      <c r="DK49" s="1612"/>
      <c r="DL49" s="1612"/>
      <c r="DM49" s="1612"/>
      <c r="DN49" s="1612"/>
      <c r="DO49" s="1612"/>
      <c r="DP49" s="1612"/>
      <c r="DQ49" s="1612"/>
      <c r="DR49" s="1612"/>
      <c r="DS49" s="1612"/>
      <c r="DT49" s="1612"/>
      <c r="DU49" s="1612"/>
      <c r="DV49" s="1612"/>
      <c r="DW49" s="1612"/>
      <c r="DX49" s="1612"/>
      <c r="DY49" s="1612"/>
      <c r="DZ49" s="1612"/>
      <c r="EA49" s="1612"/>
      <c r="EB49" s="1612"/>
      <c r="EC49" s="1612"/>
      <c r="ED49" s="1612"/>
      <c r="EE49" s="1612"/>
      <c r="EF49" s="1612"/>
      <c r="EG49" s="1612"/>
      <c r="EH49" s="1612"/>
      <c r="EI49" s="1612"/>
      <c r="EJ49" s="1612"/>
      <c r="EK49" s="1612"/>
      <c r="EL49" s="1612"/>
      <c r="EM49" s="541"/>
      <c r="EN49" s="541"/>
      <c r="EO49" s="541"/>
      <c r="EP49" s="541"/>
      <c r="EQ49" s="541"/>
      <c r="ER49" s="541"/>
      <c r="ES49" s="541"/>
      <c r="ET49" s="541"/>
      <c r="EU49" s="541"/>
      <c r="EV49" s="541"/>
      <c r="EW49" s="541"/>
      <c r="EX49" s="541"/>
      <c r="EY49" s="541"/>
      <c r="EZ49" s="541"/>
      <c r="FA49" s="541"/>
      <c r="FB49" s="541"/>
      <c r="FC49" s="541"/>
      <c r="FD49" s="541"/>
      <c r="FE49" s="541"/>
      <c r="FF49" s="541"/>
      <c r="FG49" s="541"/>
      <c r="FH49" s="541"/>
      <c r="FI49" s="541"/>
      <c r="FJ49" s="541"/>
      <c r="FK49" s="201"/>
    </row>
    <row r="50" spans="1:167" ht="25.5" customHeight="1">
      <c r="A50" s="1624"/>
      <c r="B50" s="1624"/>
      <c r="C50" s="1624"/>
      <c r="D50" s="1624"/>
      <c r="E50" s="1624"/>
      <c r="F50" s="1624"/>
      <c r="G50" s="1624"/>
      <c r="H50" s="1624"/>
      <c r="I50" s="1624"/>
      <c r="J50" s="1624"/>
      <c r="K50" s="1624"/>
      <c r="L50" s="1624"/>
      <c r="M50" s="1624"/>
      <c r="N50" s="1599"/>
      <c r="O50" s="1599"/>
      <c r="P50" s="1599"/>
      <c r="Q50" s="1599"/>
      <c r="R50" s="1599"/>
      <c r="S50" s="1599"/>
      <c r="T50" s="1599"/>
      <c r="U50" s="1599"/>
      <c r="V50" s="1599"/>
      <c r="W50" s="1599"/>
      <c r="X50" s="1599"/>
      <c r="Y50" s="1599"/>
      <c r="Z50" s="1599"/>
      <c r="AA50" s="1599"/>
      <c r="AB50" s="1599"/>
      <c r="AC50" s="1599"/>
      <c r="AD50" s="1599"/>
      <c r="AE50" s="1599"/>
      <c r="AF50" s="1599"/>
      <c r="AH50" s="1599"/>
      <c r="AI50" s="1599"/>
      <c r="AJ50" s="1599"/>
      <c r="AK50" s="1599"/>
      <c r="AL50" s="1599"/>
      <c r="AM50" s="1599"/>
      <c r="AN50" s="1599"/>
      <c r="AO50" s="1599"/>
      <c r="AP50" s="1599"/>
      <c r="AQ50" s="1599"/>
      <c r="AR50" s="1599"/>
      <c r="AS50" s="1599"/>
      <c r="AT50" s="1599"/>
      <c r="AU50" s="1599"/>
      <c r="AV50" s="1599"/>
      <c r="AW50" s="1599"/>
      <c r="AX50" s="1599"/>
      <c r="AY50" s="1599"/>
      <c r="AZ50" s="1599"/>
      <c r="BA50" s="1599"/>
      <c r="BB50" s="1599"/>
      <c r="BC50" s="1599"/>
      <c r="BD50" s="1599"/>
      <c r="BE50" s="1599"/>
      <c r="BF50" s="1599"/>
      <c r="BX50" s="202"/>
      <c r="BY50" s="536" t="s">
        <v>1888</v>
      </c>
      <c r="CL50" s="536"/>
      <c r="CN50" s="536"/>
      <c r="CO50" s="536"/>
      <c r="CP50" s="536"/>
      <c r="CQ50" s="536"/>
      <c r="CR50" s="536"/>
      <c r="CS50" s="536"/>
      <c r="CT50" s="536"/>
      <c r="CU50" s="536"/>
      <c r="CV50" s="536"/>
      <c r="CW50" s="536"/>
      <c r="CX50" s="536"/>
      <c r="CY50" s="536"/>
      <c r="CZ50" s="536"/>
      <c r="DA50" s="536"/>
      <c r="DB50" s="536"/>
      <c r="DC50" s="536"/>
      <c r="DD50" s="536"/>
      <c r="DE50" s="536"/>
      <c r="DF50" s="536"/>
      <c r="DG50" s="536"/>
      <c r="DH50" s="536"/>
      <c r="DI50" s="536"/>
      <c r="DJ50" s="536"/>
      <c r="DK50" s="536"/>
      <c r="DL50" s="536"/>
      <c r="DM50" s="536"/>
      <c r="DN50" s="536"/>
      <c r="DO50" s="536"/>
      <c r="DP50" s="536"/>
      <c r="DQ50" s="536"/>
      <c r="DR50" s="536"/>
      <c r="DS50" s="536"/>
      <c r="DT50" s="536"/>
      <c r="DU50" s="536"/>
      <c r="DV50" s="536"/>
      <c r="DW50" s="536"/>
      <c r="DX50" s="536"/>
      <c r="DY50" s="536"/>
      <c r="DZ50" s="536"/>
      <c r="EA50" s="536"/>
      <c r="EB50" s="536"/>
      <c r="EC50" s="536"/>
      <c r="ED50" s="536"/>
      <c r="EE50" s="536"/>
      <c r="EF50" s="536"/>
      <c r="EG50" s="536"/>
      <c r="EH50" s="536"/>
      <c r="EI50" s="536"/>
      <c r="EJ50" s="536"/>
      <c r="EK50" s="536"/>
      <c r="EL50" s="536"/>
      <c r="EM50" s="536"/>
      <c r="EN50" s="536"/>
      <c r="EO50" s="536"/>
      <c r="EP50" s="536"/>
      <c r="EQ50" s="536"/>
      <c r="ER50" s="536"/>
      <c r="ES50" s="536"/>
      <c r="ET50" s="536"/>
      <c r="EU50" s="536"/>
      <c r="EV50" s="536"/>
      <c r="EW50" s="536"/>
      <c r="EX50" s="536"/>
      <c r="EY50" s="536"/>
      <c r="EZ50" s="536"/>
      <c r="FA50" s="536"/>
      <c r="FB50" s="536"/>
      <c r="FC50" s="536"/>
      <c r="FD50" s="536"/>
      <c r="FE50" s="536"/>
      <c r="FF50" s="536"/>
      <c r="FG50" s="536"/>
      <c r="FH50" s="536"/>
      <c r="FI50" s="536"/>
      <c r="FJ50" s="536"/>
      <c r="FK50" s="203"/>
    </row>
    <row r="51" spans="1:167" ht="10.5" customHeight="1">
      <c r="N51" s="1600" t="s">
        <v>1846</v>
      </c>
      <c r="O51" s="1600"/>
      <c r="P51" s="1600"/>
      <c r="Q51" s="1600"/>
      <c r="R51" s="1600"/>
      <c r="S51" s="1600"/>
      <c r="T51" s="1600"/>
      <c r="U51" s="1600"/>
      <c r="V51" s="1600"/>
      <c r="W51" s="1600"/>
      <c r="X51" s="1600"/>
      <c r="Y51" s="1600"/>
      <c r="Z51" s="1600"/>
      <c r="AA51" s="1600"/>
      <c r="AB51" s="1600"/>
      <c r="AC51" s="1600"/>
      <c r="AD51" s="1600"/>
      <c r="AE51" s="1600"/>
      <c r="AF51" s="1600"/>
      <c r="AH51" s="1621" t="s">
        <v>1847</v>
      </c>
      <c r="AI51" s="1621"/>
      <c r="AJ51" s="1621"/>
      <c r="AK51" s="1621"/>
      <c r="AL51" s="1621"/>
      <c r="AM51" s="1621"/>
      <c r="AN51" s="1621"/>
      <c r="AO51" s="1621"/>
      <c r="AP51" s="1621"/>
      <c r="AQ51" s="1621"/>
      <c r="AR51" s="1621"/>
      <c r="AS51" s="1621"/>
      <c r="AT51" s="1621"/>
      <c r="AU51" s="1621"/>
      <c r="AV51" s="1621"/>
      <c r="AW51" s="1621"/>
      <c r="AX51" s="1621"/>
      <c r="AY51" s="1621"/>
      <c r="AZ51" s="1621"/>
      <c r="BA51" s="1621"/>
      <c r="BB51" s="1621"/>
      <c r="BC51" s="1621"/>
      <c r="BD51" s="1621"/>
      <c r="BE51" s="1621"/>
      <c r="BF51" s="1621"/>
      <c r="BX51" s="202"/>
      <c r="BY51" s="536" t="s">
        <v>1889</v>
      </c>
      <c r="CL51" s="1599"/>
      <c r="CM51" s="1599"/>
      <c r="CN51" s="1599"/>
      <c r="CO51" s="1599"/>
      <c r="CP51" s="1599"/>
      <c r="CQ51" s="1599"/>
      <c r="CR51" s="1599"/>
      <c r="CS51" s="1599"/>
      <c r="CT51" s="1599"/>
      <c r="CU51" s="1599"/>
      <c r="CV51" s="1599"/>
      <c r="CW51" s="1599"/>
      <c r="CX51" s="1599"/>
      <c r="CZ51" s="1599"/>
      <c r="DA51" s="1599"/>
      <c r="DB51" s="1599"/>
      <c r="DC51" s="1599"/>
      <c r="DD51" s="1599"/>
      <c r="DE51" s="1599"/>
      <c r="DF51" s="1599"/>
      <c r="DG51" s="1599"/>
      <c r="DH51" s="1599"/>
      <c r="DJ51" s="1599"/>
      <c r="DK51" s="1599"/>
      <c r="DL51" s="1599"/>
      <c r="DM51" s="1599"/>
      <c r="DN51" s="1599"/>
      <c r="DO51" s="1599"/>
      <c r="DP51" s="1599"/>
      <c r="DQ51" s="1599"/>
      <c r="DR51" s="1599"/>
      <c r="DS51" s="1599"/>
      <c r="DT51" s="1599"/>
      <c r="DU51" s="1599"/>
      <c r="DV51" s="1599"/>
      <c r="DW51" s="1599"/>
      <c r="DX51" s="1599"/>
      <c r="DY51" s="1599"/>
      <c r="DZ51" s="1599"/>
      <c r="EA51" s="1599"/>
      <c r="EC51" s="1597"/>
      <c r="ED51" s="1597"/>
      <c r="EE51" s="1597"/>
      <c r="EF51" s="1597"/>
      <c r="EG51" s="1597"/>
      <c r="EH51" s="1597"/>
      <c r="EI51" s="1597"/>
      <c r="EJ51" s="1597"/>
      <c r="EK51" s="1597"/>
      <c r="EL51" s="1597"/>
      <c r="FJ51" s="536"/>
      <c r="FK51" s="203"/>
    </row>
    <row r="52" spans="1:167" ht="10.5" customHeight="1">
      <c r="A52" s="536" t="s">
        <v>1888</v>
      </c>
      <c r="B52" s="536"/>
      <c r="C52" s="536"/>
      <c r="D52" s="536"/>
      <c r="E52" s="536"/>
      <c r="F52" s="536"/>
      <c r="G52" s="536"/>
      <c r="H52" s="536"/>
      <c r="I52" s="536"/>
      <c r="J52" s="536"/>
      <c r="K52" s="536"/>
      <c r="L52" s="536"/>
      <c r="M52" s="536"/>
      <c r="N52" s="536"/>
      <c r="O52" s="536"/>
      <c r="P52" s="536"/>
      <c r="Q52" s="536"/>
      <c r="R52" s="536"/>
      <c r="S52" s="536"/>
      <c r="T52" s="536"/>
      <c r="U52" s="536"/>
      <c r="V52" s="536"/>
      <c r="W52" s="536"/>
      <c r="X52" s="536"/>
      <c r="Y52" s="536"/>
      <c r="Z52" s="536"/>
      <c r="AA52" s="536"/>
      <c r="AB52" s="536"/>
      <c r="AC52" s="536"/>
      <c r="AD52" s="536"/>
      <c r="AE52" s="536"/>
      <c r="AF52" s="536"/>
      <c r="AG52" s="536"/>
      <c r="AH52" s="536"/>
      <c r="AI52" s="536"/>
      <c r="AJ52" s="536"/>
      <c r="AK52" s="536"/>
      <c r="AL52" s="536"/>
      <c r="AM52" s="536"/>
      <c r="AN52" s="536"/>
      <c r="AO52" s="536"/>
      <c r="AP52" s="536"/>
      <c r="AQ52" s="536"/>
      <c r="AR52" s="536"/>
      <c r="AS52" s="536"/>
      <c r="AT52" s="536"/>
      <c r="AU52" s="536"/>
      <c r="AV52" s="536"/>
      <c r="AW52" s="536"/>
      <c r="AX52" s="536"/>
      <c r="AY52" s="536"/>
      <c r="AZ52" s="536"/>
      <c r="BA52" s="536"/>
      <c r="BB52" s="536"/>
      <c r="BC52" s="536"/>
      <c r="BD52" s="536"/>
      <c r="BE52" s="536"/>
      <c r="BF52" s="536"/>
      <c r="BG52" s="536"/>
      <c r="BH52" s="536"/>
      <c r="BI52" s="536"/>
      <c r="BJ52" s="536"/>
      <c r="BK52" s="536"/>
      <c r="BL52" s="536"/>
      <c r="BM52" s="536"/>
      <c r="BN52" s="536"/>
      <c r="BO52" s="536"/>
      <c r="BP52" s="536"/>
      <c r="BQ52" s="536"/>
      <c r="BR52" s="536"/>
      <c r="BS52" s="536"/>
      <c r="BT52" s="536"/>
      <c r="BU52" s="536"/>
      <c r="BV52" s="536"/>
      <c r="BX52" s="202"/>
      <c r="CL52" s="1596" t="s">
        <v>1890</v>
      </c>
      <c r="CM52" s="1596"/>
      <c r="CN52" s="1596"/>
      <c r="CO52" s="1596"/>
      <c r="CP52" s="1596"/>
      <c r="CQ52" s="1596"/>
      <c r="CR52" s="1596"/>
      <c r="CS52" s="1596"/>
      <c r="CT52" s="1596"/>
      <c r="CU52" s="1596"/>
      <c r="CV52" s="1596"/>
      <c r="CW52" s="1596"/>
      <c r="CX52" s="1596"/>
      <c r="CZ52" s="1596" t="s">
        <v>1846</v>
      </c>
      <c r="DA52" s="1596"/>
      <c r="DB52" s="1596"/>
      <c r="DC52" s="1596"/>
      <c r="DD52" s="1596"/>
      <c r="DE52" s="1596"/>
      <c r="DF52" s="1596"/>
      <c r="DG52" s="1596"/>
      <c r="DH52" s="1596"/>
      <c r="DJ52" s="1596" t="s">
        <v>1847</v>
      </c>
      <c r="DK52" s="1596"/>
      <c r="DL52" s="1596"/>
      <c r="DM52" s="1596"/>
      <c r="DN52" s="1596"/>
      <c r="DO52" s="1596"/>
      <c r="DP52" s="1596"/>
      <c r="DQ52" s="1596"/>
      <c r="DR52" s="1596"/>
      <c r="DS52" s="1596"/>
      <c r="DT52" s="1596"/>
      <c r="DU52" s="1596"/>
      <c r="DV52" s="1596"/>
      <c r="DW52" s="1596"/>
      <c r="DX52" s="1596"/>
      <c r="DY52" s="1596"/>
      <c r="DZ52" s="1596"/>
      <c r="EA52" s="1596"/>
      <c r="EC52" s="1596" t="s">
        <v>1891</v>
      </c>
      <c r="ED52" s="1596"/>
      <c r="EE52" s="1596"/>
      <c r="EF52" s="1596"/>
      <c r="EG52" s="1596"/>
      <c r="EH52" s="1596"/>
      <c r="EI52" s="1596"/>
      <c r="EJ52" s="1596"/>
      <c r="EK52" s="1596"/>
      <c r="EL52" s="1596"/>
      <c r="FJ52" s="542"/>
      <c r="FK52" s="203"/>
    </row>
    <row r="53" spans="1:167" ht="10.5" customHeight="1">
      <c r="A53" s="536" t="s">
        <v>1889</v>
      </c>
      <c r="B53" s="536"/>
      <c r="C53" s="536"/>
      <c r="D53" s="536"/>
      <c r="E53" s="536"/>
      <c r="F53" s="536"/>
      <c r="G53" s="536"/>
      <c r="H53" s="536"/>
      <c r="I53" s="536"/>
      <c r="J53" s="536"/>
      <c r="K53" s="536"/>
      <c r="L53" s="536"/>
      <c r="M53" s="536"/>
      <c r="N53" s="1599"/>
      <c r="O53" s="1599"/>
      <c r="P53" s="1599"/>
      <c r="Q53" s="1599"/>
      <c r="R53" s="1599"/>
      <c r="S53" s="1599"/>
      <c r="T53" s="1599"/>
      <c r="U53" s="1599"/>
      <c r="V53" s="1599"/>
      <c r="W53" s="1599"/>
      <c r="X53" s="1599"/>
      <c r="Y53" s="1599"/>
      <c r="Z53" s="1599"/>
      <c r="AA53" s="1599"/>
      <c r="AB53" s="1599"/>
      <c r="AD53" s="1599"/>
      <c r="AE53" s="1599"/>
      <c r="AF53" s="1599"/>
      <c r="AG53" s="1599"/>
      <c r="AH53" s="1599"/>
      <c r="AI53" s="1599"/>
      <c r="AJ53" s="1599"/>
      <c r="AK53" s="1599"/>
      <c r="AL53" s="1599"/>
      <c r="AM53" s="1599"/>
      <c r="AO53" s="1599"/>
      <c r="AP53" s="1599"/>
      <c r="AQ53" s="1599"/>
      <c r="AR53" s="1599"/>
      <c r="AS53" s="1599"/>
      <c r="AT53" s="1599"/>
      <c r="AU53" s="1599"/>
      <c r="AV53" s="1599"/>
      <c r="AW53" s="1599"/>
      <c r="AX53" s="1599"/>
      <c r="AY53" s="1599"/>
      <c r="AZ53" s="1599"/>
      <c r="BA53" s="1599"/>
      <c r="BB53" s="1599"/>
      <c r="BC53" s="1599"/>
      <c r="BD53" s="1599"/>
      <c r="BE53" s="1599"/>
      <c r="BF53" s="1599"/>
      <c r="BH53" s="1597"/>
      <c r="BI53" s="1597"/>
      <c r="BJ53" s="1597"/>
      <c r="BK53" s="1597"/>
      <c r="BL53" s="1597"/>
      <c r="BM53" s="1597"/>
      <c r="BN53" s="1597"/>
      <c r="BO53" s="1597"/>
      <c r="BP53" s="1597"/>
      <c r="BQ53" s="1597"/>
      <c r="BR53" s="1597"/>
      <c r="BS53" s="1597"/>
      <c r="BT53" s="1597"/>
      <c r="BU53" s="1597"/>
      <c r="BX53" s="202"/>
      <c r="BY53" s="1598" t="s">
        <v>1848</v>
      </c>
      <c r="BZ53" s="1598"/>
      <c r="CA53" s="1597"/>
      <c r="CB53" s="1597"/>
      <c r="CC53" s="1597"/>
      <c r="CD53" s="1597"/>
      <c r="CE53" s="1597"/>
      <c r="CF53" s="1564" t="s">
        <v>1848</v>
      </c>
      <c r="CG53" s="1564"/>
      <c r="CH53" s="1597"/>
      <c r="CI53" s="1597"/>
      <c r="CJ53" s="1597"/>
      <c r="CK53" s="1597"/>
      <c r="CL53" s="1597"/>
      <c r="CM53" s="1597"/>
      <c r="CN53" s="1597"/>
      <c r="CO53" s="1597"/>
      <c r="CP53" s="1597"/>
      <c r="CQ53" s="1597"/>
      <c r="CR53" s="1597"/>
      <c r="CS53" s="1597"/>
      <c r="CT53" s="1597"/>
      <c r="CU53" s="1597"/>
      <c r="CV53" s="1597"/>
      <c r="CW53" s="1597"/>
      <c r="CX53" s="1597"/>
      <c r="CY53" s="1597"/>
      <c r="CZ53" s="1597"/>
      <c r="DA53" s="1597"/>
      <c r="DB53" s="1597"/>
      <c r="DC53" s="1597"/>
      <c r="DD53" s="1597"/>
      <c r="DE53" s="1598">
        <v>20</v>
      </c>
      <c r="DF53" s="1598"/>
      <c r="DG53" s="1598"/>
      <c r="DH53" s="1598"/>
      <c r="DI53" s="1616"/>
      <c r="DJ53" s="1616"/>
      <c r="DK53" s="1616"/>
      <c r="DL53" s="1564" t="s">
        <v>1849</v>
      </c>
      <c r="DM53" s="1564"/>
      <c r="DN53" s="1564"/>
      <c r="ED53" s="536"/>
      <c r="EE53" s="536"/>
      <c r="EF53" s="536"/>
      <c r="EG53" s="536"/>
      <c r="EK53" s="536"/>
      <c r="EL53" s="536"/>
      <c r="EM53" s="536"/>
      <c r="EN53" s="536"/>
      <c r="EO53" s="536"/>
      <c r="EP53" s="536"/>
      <c r="EQ53" s="536"/>
      <c r="ER53" s="536"/>
      <c r="ES53" s="536"/>
      <c r="ET53" s="536"/>
      <c r="EU53" s="536"/>
      <c r="EV53" s="536"/>
      <c r="EW53" s="536"/>
      <c r="EX53" s="536"/>
      <c r="EY53" s="536"/>
      <c r="EZ53" s="536"/>
      <c r="FA53" s="536"/>
      <c r="FB53" s="536"/>
      <c r="FC53" s="536"/>
      <c r="FD53" s="536"/>
      <c r="FE53" s="536"/>
      <c r="FF53" s="536"/>
      <c r="FG53" s="536"/>
      <c r="FH53" s="536"/>
      <c r="FI53" s="536"/>
      <c r="FJ53" s="536"/>
      <c r="FK53" s="203"/>
    </row>
    <row r="54" spans="1:167" s="177" customFormat="1" ht="9.75" customHeight="1" thickBot="1">
      <c r="N54" s="1596" t="s">
        <v>1890</v>
      </c>
      <c r="O54" s="1596"/>
      <c r="P54" s="1596"/>
      <c r="Q54" s="1596"/>
      <c r="R54" s="1596"/>
      <c r="S54" s="1596"/>
      <c r="T54" s="1596"/>
      <c r="U54" s="1596"/>
      <c r="V54" s="1596"/>
      <c r="W54" s="1596"/>
      <c r="X54" s="1596"/>
      <c r="Y54" s="1596"/>
      <c r="Z54" s="1596"/>
      <c r="AA54" s="1596"/>
      <c r="AB54" s="1596"/>
      <c r="AD54" s="1596" t="s">
        <v>1846</v>
      </c>
      <c r="AE54" s="1596"/>
      <c r="AF54" s="1596"/>
      <c r="AG54" s="1596"/>
      <c r="AH54" s="1596"/>
      <c r="AI54" s="1596"/>
      <c r="AJ54" s="1596"/>
      <c r="AK54" s="1596"/>
      <c r="AL54" s="1596"/>
      <c r="AM54" s="1596"/>
      <c r="AO54" s="1596" t="s">
        <v>1847</v>
      </c>
      <c r="AP54" s="1596"/>
      <c r="AQ54" s="1596"/>
      <c r="AR54" s="1596"/>
      <c r="AS54" s="1596"/>
      <c r="AT54" s="1596"/>
      <c r="AU54" s="1596"/>
      <c r="AV54" s="1596"/>
      <c r="AW54" s="1596"/>
      <c r="AX54" s="1596"/>
      <c r="AY54" s="1596"/>
      <c r="AZ54" s="1596"/>
      <c r="BA54" s="1596"/>
      <c r="BB54" s="1596"/>
      <c r="BC54" s="1596"/>
      <c r="BD54" s="1596"/>
      <c r="BE54" s="1596"/>
      <c r="BF54" s="1596"/>
      <c r="BH54" s="1617" t="s">
        <v>1891</v>
      </c>
      <c r="BI54" s="1617"/>
      <c r="BJ54" s="1617"/>
      <c r="BK54" s="1617"/>
      <c r="BL54" s="1617"/>
      <c r="BM54" s="1617"/>
      <c r="BN54" s="1617"/>
      <c r="BO54" s="1617"/>
      <c r="BP54" s="1617"/>
      <c r="BQ54" s="1617"/>
      <c r="BR54" s="1617"/>
      <c r="BS54" s="1617"/>
      <c r="BT54" s="1617"/>
      <c r="BU54" s="1617"/>
      <c r="BX54" s="204"/>
      <c r="BY54" s="205"/>
      <c r="BZ54" s="205"/>
      <c r="CA54" s="205"/>
      <c r="CB54" s="205"/>
      <c r="CC54" s="205"/>
      <c r="CD54" s="205"/>
      <c r="CE54" s="205"/>
      <c r="CF54" s="205"/>
      <c r="CG54" s="205"/>
      <c r="CH54" s="205"/>
      <c r="CI54" s="205"/>
      <c r="CJ54" s="205"/>
      <c r="CK54" s="205"/>
      <c r="CL54" s="205"/>
      <c r="CM54" s="205"/>
      <c r="CN54" s="205"/>
      <c r="CO54" s="205"/>
      <c r="CP54" s="205"/>
      <c r="CQ54" s="205"/>
      <c r="CR54" s="205"/>
      <c r="CS54" s="205"/>
      <c r="CT54" s="205"/>
      <c r="CU54" s="205"/>
      <c r="CV54" s="205"/>
      <c r="CW54" s="205"/>
      <c r="CX54" s="205"/>
      <c r="CY54" s="205"/>
      <c r="CZ54" s="205"/>
      <c r="DA54" s="205"/>
      <c r="DB54" s="205"/>
      <c r="DC54" s="205"/>
      <c r="DD54" s="205"/>
      <c r="DE54" s="205"/>
      <c r="DF54" s="205"/>
      <c r="DG54" s="205"/>
      <c r="DH54" s="205"/>
      <c r="DI54" s="205"/>
      <c r="DJ54" s="205"/>
      <c r="DK54" s="205"/>
      <c r="DL54" s="205"/>
      <c r="DM54" s="205"/>
      <c r="DN54" s="205"/>
      <c r="DO54" s="205"/>
      <c r="DP54" s="205"/>
      <c r="DQ54" s="205"/>
      <c r="DR54" s="205"/>
      <c r="DS54" s="205"/>
      <c r="DT54" s="205"/>
      <c r="DU54" s="205"/>
      <c r="DV54" s="205"/>
      <c r="DW54" s="205"/>
      <c r="DX54" s="205"/>
      <c r="DY54" s="205"/>
      <c r="DZ54" s="205"/>
      <c r="EA54" s="205"/>
      <c r="EB54" s="205"/>
      <c r="EC54" s="205"/>
      <c r="ED54" s="205"/>
      <c r="EE54" s="205"/>
      <c r="EF54" s="205"/>
      <c r="EG54" s="205"/>
      <c r="EH54" s="205"/>
      <c r="EI54" s="205"/>
      <c r="EJ54" s="205"/>
      <c r="EK54" s="205"/>
      <c r="EL54" s="205"/>
      <c r="EM54" s="205"/>
      <c r="EN54" s="205"/>
      <c r="EO54" s="205"/>
      <c r="EP54" s="205"/>
      <c r="EQ54" s="205"/>
      <c r="ER54" s="205"/>
      <c r="ES54" s="205"/>
      <c r="ET54" s="205"/>
      <c r="EU54" s="205"/>
      <c r="EV54" s="205"/>
      <c r="EW54" s="205"/>
      <c r="EX54" s="205"/>
      <c r="EY54" s="205"/>
      <c r="EZ54" s="205"/>
      <c r="FA54" s="205"/>
      <c r="FB54" s="205"/>
      <c r="FC54" s="205"/>
      <c r="FD54" s="205"/>
      <c r="FE54" s="205"/>
      <c r="FF54" s="205"/>
      <c r="FG54" s="205"/>
      <c r="FH54" s="205"/>
      <c r="FI54" s="205"/>
      <c r="FJ54" s="205"/>
      <c r="FK54" s="206"/>
    </row>
    <row r="55" spans="1:167" s="536" customFormat="1" ht="10.5" customHeight="1">
      <c r="A55" s="1598" t="s">
        <v>1848</v>
      </c>
      <c r="B55" s="1598"/>
      <c r="C55" s="1597"/>
      <c r="D55" s="1597"/>
      <c r="E55" s="1597"/>
      <c r="F55" s="1597"/>
      <c r="G55" s="1597"/>
      <c r="H55" s="1564" t="s">
        <v>1848</v>
      </c>
      <c r="I55" s="1564"/>
      <c r="J55" s="1597"/>
      <c r="K55" s="1597"/>
      <c r="L55" s="1597"/>
      <c r="M55" s="1597"/>
      <c r="N55" s="1597"/>
      <c r="O55" s="1597"/>
      <c r="P55" s="1597"/>
      <c r="Q55" s="1597"/>
      <c r="R55" s="1597"/>
      <c r="S55" s="1597"/>
      <c r="T55" s="1597"/>
      <c r="U55" s="1597"/>
      <c r="V55" s="1597"/>
      <c r="W55" s="1597"/>
      <c r="X55" s="1597"/>
      <c r="Y55" s="1597"/>
      <c r="Z55" s="1597"/>
      <c r="AA55" s="1597"/>
      <c r="AB55" s="1597"/>
      <c r="AC55" s="1597"/>
      <c r="AD55" s="1597"/>
      <c r="AE55" s="1597"/>
      <c r="AF55" s="1597"/>
      <c r="AG55" s="1598">
        <v>20</v>
      </c>
      <c r="AH55" s="1598"/>
      <c r="AI55" s="1598"/>
      <c r="AJ55" s="1598"/>
      <c r="AK55" s="1616"/>
      <c r="AL55" s="1616"/>
      <c r="AM55" s="1616"/>
      <c r="AN55" s="1564" t="s">
        <v>1849</v>
      </c>
      <c r="AO55" s="1564"/>
      <c r="AP55" s="1564"/>
    </row>
    <row r="56" spans="1:167" s="536" customFormat="1" ht="3" customHeight="1"/>
  </sheetData>
  <mergeCells count="136">
    <mergeCell ref="BP8:FK8"/>
    <mergeCell ref="BP9:FK9"/>
    <mergeCell ref="BP10:FK10"/>
    <mergeCell ref="BP11:FK11"/>
    <mergeCell ref="BP12:FK12"/>
    <mergeCell ref="BP13:CK13"/>
    <mergeCell ref="DY13:FK13"/>
    <mergeCell ref="CY15:DA15"/>
    <mergeCell ref="BP14:CK14"/>
    <mergeCell ref="DY14:FK14"/>
    <mergeCell ref="EZ18:FK18"/>
    <mergeCell ref="BQ15:BU15"/>
    <mergeCell ref="BV15:BW15"/>
    <mergeCell ref="BX15:CT15"/>
    <mergeCell ref="CU15:CX15"/>
    <mergeCell ref="EJ17:EM17"/>
    <mergeCell ref="B16:EX16"/>
    <mergeCell ref="EZ17:FK17"/>
    <mergeCell ref="DB15:DD15"/>
    <mergeCell ref="AW19:AX19"/>
    <mergeCell ref="AY19:BU19"/>
    <mergeCell ref="AY23:BZ24"/>
    <mergeCell ref="BZ19:CB19"/>
    <mergeCell ref="EZ26:FK26"/>
    <mergeCell ref="EZ27:FK27"/>
    <mergeCell ref="AO20:EL21"/>
    <mergeCell ref="EZ20:FK21"/>
    <mergeCell ref="EZ22:FK24"/>
    <mergeCell ref="CC19:CE19"/>
    <mergeCell ref="L32:AV32"/>
    <mergeCell ref="A35:AD39"/>
    <mergeCell ref="EZ28:FK29"/>
    <mergeCell ref="CB37:CD37"/>
    <mergeCell ref="BI36:CM36"/>
    <mergeCell ref="CN35:DO38"/>
    <mergeCell ref="DB39:DO39"/>
    <mergeCell ref="BV19:BY19"/>
    <mergeCell ref="AR19:AV19"/>
    <mergeCell ref="AO28:EL29"/>
    <mergeCell ref="L31:AV31"/>
    <mergeCell ref="AE40:AN40"/>
    <mergeCell ref="EZ30:FK30"/>
    <mergeCell ref="AE35:AN39"/>
    <mergeCell ref="DP40:EM40"/>
    <mergeCell ref="BS39:CM39"/>
    <mergeCell ref="A48:M50"/>
    <mergeCell ref="AO53:BF53"/>
    <mergeCell ref="AH51:BF51"/>
    <mergeCell ref="BH53:BU53"/>
    <mergeCell ref="EN41:FK41"/>
    <mergeCell ref="A41:AD41"/>
    <mergeCell ref="AO41:AX41"/>
    <mergeCell ref="BI39:BR39"/>
    <mergeCell ref="EZ46:FK46"/>
    <mergeCell ref="N47:AF47"/>
    <mergeCell ref="AH47:BF47"/>
    <mergeCell ref="AO40:AX40"/>
    <mergeCell ref="AY40:BH40"/>
    <mergeCell ref="DB41:DO41"/>
    <mergeCell ref="A42:AD42"/>
    <mergeCell ref="A40:AD40"/>
    <mergeCell ref="N53:AB53"/>
    <mergeCell ref="AD53:AM53"/>
    <mergeCell ref="DL53:DN53"/>
    <mergeCell ref="DI53:DK53"/>
    <mergeCell ref="BH54:BU54"/>
    <mergeCell ref="CH53:DD53"/>
    <mergeCell ref="AO54:BF54"/>
    <mergeCell ref="A55:B55"/>
    <mergeCell ref="C55:G55"/>
    <mergeCell ref="H55:I55"/>
    <mergeCell ref="J55:AF55"/>
    <mergeCell ref="AG55:AJ55"/>
    <mergeCell ref="AK55:AM55"/>
    <mergeCell ref="AD54:AM54"/>
    <mergeCell ref="N54:AB54"/>
    <mergeCell ref="AN55:AP55"/>
    <mergeCell ref="BS40:CM40"/>
    <mergeCell ref="AH46:BF46"/>
    <mergeCell ref="AH50:BF50"/>
    <mergeCell ref="BI42:BR42"/>
    <mergeCell ref="AO42:AX42"/>
    <mergeCell ref="AY42:BH42"/>
    <mergeCell ref="BY53:BZ53"/>
    <mergeCell ref="CL51:CX51"/>
    <mergeCell ref="BI40:BR40"/>
    <mergeCell ref="N46:AF46"/>
    <mergeCell ref="AE41:AN41"/>
    <mergeCell ref="N50:AF50"/>
    <mergeCell ref="BS43:CM43"/>
    <mergeCell ref="BX49:EL49"/>
    <mergeCell ref="BS41:CM41"/>
    <mergeCell ref="CN41:DA41"/>
    <mergeCell ref="BI41:BR41"/>
    <mergeCell ref="AE42:AN42"/>
    <mergeCell ref="AY41:BH41"/>
    <mergeCell ref="CA53:CE53"/>
    <mergeCell ref="DE53:DH53"/>
    <mergeCell ref="DJ52:EA52"/>
    <mergeCell ref="CZ51:DH51"/>
    <mergeCell ref="N51:AF51"/>
    <mergeCell ref="BS42:CM42"/>
    <mergeCell ref="CN42:DA42"/>
    <mergeCell ref="BX48:EL48"/>
    <mergeCell ref="DJ51:EA51"/>
    <mergeCell ref="EC51:EL51"/>
    <mergeCell ref="EZ31:FK31"/>
    <mergeCell ref="DP35:FK38"/>
    <mergeCell ref="AO26:EL27"/>
    <mergeCell ref="BI35:CM35"/>
    <mergeCell ref="EC52:EL52"/>
    <mergeCell ref="CL52:CX52"/>
    <mergeCell ref="CZ52:DH52"/>
    <mergeCell ref="CN43:DA43"/>
    <mergeCell ref="DB43:DO43"/>
    <mergeCell ref="DB42:DO42"/>
    <mergeCell ref="CN39:DA39"/>
    <mergeCell ref="AO25:EL25"/>
    <mergeCell ref="AO35:AX39"/>
    <mergeCell ref="AY35:BH39"/>
    <mergeCell ref="EN43:FK43"/>
    <mergeCell ref="DP42:EM42"/>
    <mergeCell ref="EN42:FK42"/>
    <mergeCell ref="EZ25:FK25"/>
    <mergeCell ref="DP43:EM43"/>
    <mergeCell ref="EN40:FK40"/>
    <mergeCell ref="CN40:DA40"/>
    <mergeCell ref="DB40:DO40"/>
    <mergeCell ref="EZ19:FK19"/>
    <mergeCell ref="EZ45:FK45"/>
    <mergeCell ref="CS1:FK7"/>
    <mergeCell ref="CF53:CG53"/>
    <mergeCell ref="DP41:EM41"/>
    <mergeCell ref="EN33:FK33"/>
    <mergeCell ref="DP39:EM39"/>
    <mergeCell ref="EN39:FK39"/>
  </mergeCells>
  <phoneticPr fontId="116" type="noConversion"/>
  <pageMargins left="0.39370078740157483" right="0.31496062992125984" top="0.59055118110236227" bottom="0.35433070866141736" header="0.19685039370078741" footer="0.19685039370078741"/>
  <pageSetup paperSize="9" scale="97" orientation="landscape" r:id="rId1"/>
  <headerFooter differentFirst="1" alignWithMargins="0">
    <oddHeader>&amp;R&amp;"Times New Roman,обычный"&amp;7Подготовлено с использованием системы &amp;"Times New Roman,полужирный"КонсультантПлюс</oddHeader>
  </headerFooter>
</worksheet>
</file>

<file path=xl/worksheets/sheet13.xml><?xml version="1.0" encoding="utf-8"?>
<worksheet xmlns="http://schemas.openxmlformats.org/spreadsheetml/2006/main" xmlns:r="http://schemas.openxmlformats.org/officeDocument/2006/relationships">
  <sheetPr codeName="Лист2">
    <tabColor theme="0" tint="-0.499984740745262"/>
  </sheetPr>
  <dimension ref="A1:W44"/>
  <sheetViews>
    <sheetView view="pageBreakPreview" topLeftCell="A18" zoomScale="68" zoomScaleNormal="100" zoomScaleSheetLayoutView="68" workbookViewId="0">
      <selection activeCell="I13" sqref="I13"/>
    </sheetView>
  </sheetViews>
  <sheetFormatPr defaultRowHeight="15"/>
  <cols>
    <col min="1" max="1" width="4.5703125" style="1" customWidth="1"/>
    <col min="2" max="2" width="18" style="1" customWidth="1"/>
    <col min="3" max="3" width="8.140625" style="1" customWidth="1"/>
    <col min="4" max="4" width="11.7109375" style="1" customWidth="1"/>
    <col min="5" max="5" width="9.140625" style="1"/>
    <col min="6" max="6" width="16.5703125" style="1" customWidth="1"/>
    <col min="7" max="7" width="14.42578125" style="1" customWidth="1"/>
    <col min="8" max="8" width="15.85546875" style="1" customWidth="1"/>
    <col min="9" max="9" width="13.28515625" style="1" customWidth="1"/>
    <col min="10" max="10" width="9.140625" style="1"/>
    <col min="11" max="11" width="13.42578125" style="1" customWidth="1"/>
    <col min="12" max="12" width="12.28515625" style="1" customWidth="1"/>
    <col min="13" max="13" width="11.140625" style="1" customWidth="1"/>
    <col min="14" max="14" width="13.28515625" style="1" customWidth="1"/>
    <col min="15" max="16384" width="9.140625" style="1"/>
  </cols>
  <sheetData>
    <row r="1" spans="1:16" ht="15.75">
      <c r="A1" s="234"/>
      <c r="B1" s="234"/>
      <c r="C1" s="234"/>
      <c r="D1" s="234"/>
      <c r="E1" s="234"/>
      <c r="F1" s="234"/>
      <c r="G1" s="234"/>
      <c r="H1" s="234"/>
      <c r="I1" s="234"/>
      <c r="J1" s="234"/>
      <c r="K1" s="234"/>
      <c r="L1" s="234"/>
    </row>
    <row r="2" spans="1:16" ht="15.75">
      <c r="A2" s="1680" t="s">
        <v>1375</v>
      </c>
      <c r="B2" s="1680"/>
      <c r="C2" s="1680"/>
      <c r="D2" s="1680"/>
      <c r="E2" s="1680"/>
      <c r="F2" s="1680"/>
      <c r="G2" s="1680"/>
      <c r="H2" s="1680"/>
      <c r="I2" s="1680"/>
      <c r="J2" s="1680"/>
      <c r="K2" s="1680"/>
      <c r="L2" s="1680"/>
      <c r="M2" s="1680"/>
      <c r="N2" s="1680"/>
    </row>
    <row r="3" spans="1:16" ht="15.75">
      <c r="A3" s="234"/>
      <c r="B3" s="234"/>
      <c r="C3" s="234"/>
      <c r="D3" s="234"/>
      <c r="E3" s="234"/>
      <c r="F3" s="234"/>
      <c r="G3" s="234"/>
      <c r="H3" s="234"/>
      <c r="I3" s="234"/>
      <c r="J3" s="234"/>
      <c r="K3" s="234"/>
      <c r="L3" s="234"/>
      <c r="M3" s="234"/>
      <c r="N3" s="234"/>
    </row>
    <row r="4" spans="1:16" ht="15.75">
      <c r="A4" s="234" t="s">
        <v>302</v>
      </c>
      <c r="B4" s="234"/>
      <c r="C4" s="235"/>
      <c r="D4" s="235"/>
      <c r="E4" s="235"/>
      <c r="F4" s="235"/>
      <c r="G4" s="235"/>
      <c r="H4" s="235"/>
      <c r="I4" s="235"/>
      <c r="J4" s="235"/>
      <c r="K4" s="235"/>
      <c r="L4" s="235"/>
      <c r="M4" s="1681" t="s">
        <v>1080</v>
      </c>
      <c r="N4" s="1681"/>
    </row>
    <row r="5" spans="1:16" ht="15.75">
      <c r="A5" s="234"/>
      <c r="B5" s="234"/>
      <c r="C5" s="235"/>
      <c r="D5" s="235"/>
      <c r="E5" s="235"/>
      <c r="F5" s="235"/>
      <c r="G5" s="235"/>
      <c r="H5" s="235"/>
      <c r="I5" s="235"/>
      <c r="J5" s="235"/>
      <c r="K5" s="235"/>
      <c r="L5" s="235"/>
      <c r="M5" s="235"/>
      <c r="N5" s="235"/>
    </row>
    <row r="6" spans="1:16" ht="15.75">
      <c r="A6" s="234" t="s">
        <v>303</v>
      </c>
      <c r="B6" s="234"/>
      <c r="C6" s="234"/>
      <c r="D6" s="234"/>
      <c r="E6" s="234"/>
      <c r="F6" s="234"/>
      <c r="G6" s="234"/>
      <c r="H6" s="234"/>
      <c r="I6" s="234"/>
      <c r="J6" s="234"/>
      <c r="K6" s="234"/>
      <c r="L6" s="234"/>
      <c r="M6" s="234"/>
      <c r="N6" s="234"/>
    </row>
    <row r="7" spans="1:16" ht="15.75">
      <c r="A7" s="234"/>
      <c r="B7" s="234"/>
      <c r="C7" s="234"/>
      <c r="D7" s="234"/>
      <c r="E7" s="234"/>
      <c r="F7" s="234"/>
      <c r="G7" s="234"/>
      <c r="H7" s="234"/>
      <c r="I7" s="234"/>
      <c r="J7" s="234"/>
      <c r="K7" s="234"/>
      <c r="L7" s="234"/>
      <c r="M7" s="234"/>
      <c r="N7" s="234"/>
    </row>
    <row r="8" spans="1:16" ht="15.75">
      <c r="A8" s="234"/>
      <c r="B8" s="234"/>
      <c r="C8" s="234"/>
      <c r="D8" s="234"/>
      <c r="E8" s="234"/>
      <c r="F8" s="234"/>
      <c r="G8" s="234"/>
      <c r="H8" s="234"/>
      <c r="I8" s="234"/>
      <c r="J8" s="234"/>
      <c r="K8" s="234"/>
      <c r="L8" s="234"/>
      <c r="M8" s="234"/>
      <c r="N8" s="209"/>
    </row>
    <row r="9" spans="1:16" ht="15.75">
      <c r="A9" s="234"/>
      <c r="B9" s="234"/>
      <c r="C9" s="234"/>
      <c r="D9" s="234"/>
      <c r="E9" s="234"/>
      <c r="F9" s="234"/>
      <c r="G9" s="234"/>
      <c r="H9" s="234"/>
      <c r="I9" s="234"/>
      <c r="J9" s="234"/>
      <c r="K9" s="234"/>
      <c r="L9" s="234"/>
      <c r="M9" s="234"/>
      <c r="N9" s="209"/>
    </row>
    <row r="10" spans="1:16" ht="15.75">
      <c r="A10" s="1680" t="s">
        <v>1273</v>
      </c>
      <c r="B10" s="1680"/>
      <c r="C10" s="1680"/>
      <c r="D10" s="1680"/>
      <c r="E10" s="1680"/>
      <c r="F10" s="1680"/>
      <c r="G10" s="1680"/>
      <c r="H10" s="1680"/>
      <c r="I10" s="1680"/>
      <c r="J10" s="1680"/>
      <c r="K10" s="1680"/>
      <c r="L10" s="1680"/>
      <c r="M10" s="1680"/>
      <c r="N10" s="1680"/>
    </row>
    <row r="11" spans="1:16" ht="12.75" customHeight="1">
      <c r="A11" s="234"/>
      <c r="B11" s="234"/>
      <c r="C11" s="234"/>
      <c r="D11" s="234"/>
      <c r="E11" s="234"/>
      <c r="F11" s="234"/>
      <c r="G11" s="234"/>
      <c r="H11" s="234"/>
      <c r="I11" s="234"/>
      <c r="J11" s="234"/>
      <c r="K11" s="234"/>
      <c r="L11" s="1678" t="s">
        <v>1068</v>
      </c>
      <c r="M11" s="1678"/>
      <c r="N11" s="1678"/>
      <c r="O11" s="472"/>
      <c r="P11" s="472"/>
    </row>
    <row r="12" spans="1:16" ht="11.25" customHeight="1">
      <c r="A12" s="234"/>
      <c r="B12" s="1682"/>
      <c r="C12" s="1682"/>
      <c r="D12" s="234"/>
      <c r="E12" s="234"/>
      <c r="F12" s="234"/>
      <c r="G12" s="234"/>
      <c r="H12" s="234"/>
      <c r="I12" s="234"/>
      <c r="J12" s="234"/>
      <c r="K12" s="234"/>
      <c r="L12" s="234"/>
      <c r="M12" s="1678" t="s">
        <v>1069</v>
      </c>
      <c r="N12" s="1678"/>
      <c r="O12" s="472"/>
      <c r="P12" s="472"/>
    </row>
    <row r="13" spans="1:16" s="9" customFormat="1" ht="10.5" customHeight="1">
      <c r="A13" s="468"/>
      <c r="B13" s="1674"/>
      <c r="C13" s="1674"/>
      <c r="D13" s="1674"/>
      <c r="E13" s="468"/>
      <c r="F13" s="468"/>
      <c r="G13" s="422"/>
      <c r="H13" s="467"/>
      <c r="I13" s="323"/>
      <c r="J13" s="323"/>
      <c r="K13" s="465"/>
      <c r="L13" s="422"/>
      <c r="M13" s="1678" t="s">
        <v>1012</v>
      </c>
      <c r="N13" s="1678"/>
      <c r="O13" s="472"/>
      <c r="P13" s="472"/>
    </row>
    <row r="14" spans="1:16" s="9" customFormat="1" ht="11.25" customHeight="1">
      <c r="A14" s="468"/>
      <c r="B14" s="1674"/>
      <c r="C14" s="1674"/>
      <c r="D14" s="1674"/>
      <c r="E14" s="468"/>
      <c r="F14" s="468"/>
      <c r="G14" s="468"/>
      <c r="H14" s="465"/>
      <c r="I14" s="473"/>
      <c r="J14" s="473"/>
      <c r="K14" s="465"/>
      <c r="L14" s="474"/>
      <c r="M14" s="1678" t="s">
        <v>1070</v>
      </c>
      <c r="N14" s="1678"/>
      <c r="O14" s="472"/>
      <c r="P14" s="472"/>
    </row>
    <row r="15" spans="1:16" s="9" customFormat="1" ht="12.75" customHeight="1">
      <c r="A15" s="468"/>
      <c r="B15" s="1679"/>
      <c r="C15" s="1679"/>
      <c r="D15" s="1679"/>
      <c r="E15" s="468"/>
      <c r="F15" s="468"/>
      <c r="G15" s="468"/>
      <c r="H15" s="465"/>
      <c r="I15" s="473"/>
      <c r="J15" s="473"/>
      <c r="K15" s="465"/>
      <c r="L15" s="323"/>
      <c r="M15" s="1678" t="s">
        <v>1071</v>
      </c>
      <c r="N15" s="1678"/>
      <c r="O15" s="472"/>
      <c r="P15" s="472"/>
    </row>
    <row r="16" spans="1:16" s="9" customFormat="1" ht="15.75" customHeight="1">
      <c r="A16" s="468"/>
      <c r="B16" s="1674"/>
      <c r="C16" s="1674"/>
      <c r="D16" s="1674"/>
      <c r="E16" s="468"/>
      <c r="F16" s="468"/>
      <c r="G16" s="468"/>
      <c r="H16" s="465"/>
      <c r="I16" s="473"/>
      <c r="J16" s="473"/>
      <c r="K16" s="465" t="s">
        <v>170</v>
      </c>
      <c r="L16" s="422"/>
      <c r="M16" s="475"/>
      <c r="N16" s="468"/>
    </row>
    <row r="17" spans="1:14" s="466" customFormat="1" ht="19.5" customHeight="1">
      <c r="A17" s="468"/>
      <c r="B17" s="1674"/>
      <c r="C17" s="1674"/>
      <c r="D17" s="1674"/>
      <c r="E17" s="468"/>
      <c r="F17" s="323"/>
      <c r="G17" s="422"/>
      <c r="H17" s="467"/>
      <c r="I17" s="468"/>
      <c r="J17" s="468"/>
      <c r="K17" s="465" t="s">
        <v>1066</v>
      </c>
      <c r="L17" s="474"/>
      <c r="M17" s="475"/>
      <c r="N17" s="476"/>
    </row>
    <row r="18" spans="1:14" s="466" customFormat="1" ht="15" customHeight="1">
      <c r="A18" s="468"/>
      <c r="B18" s="1674"/>
      <c r="C18" s="1674"/>
      <c r="D18" s="1674"/>
      <c r="E18" s="1674"/>
      <c r="F18" s="323"/>
      <c r="G18" s="422"/>
      <c r="H18" s="467"/>
      <c r="I18" s="468"/>
      <c r="J18" s="468"/>
      <c r="K18" s="465" t="s">
        <v>164</v>
      </c>
      <c r="L18" s="323"/>
      <c r="M18" s="475"/>
      <c r="N18" s="476"/>
    </row>
    <row r="19" spans="1:14" s="466" customFormat="1" ht="16.5" customHeight="1">
      <c r="A19" s="468"/>
      <c r="B19" s="468"/>
      <c r="C19" s="468"/>
      <c r="D19" s="468"/>
      <c r="E19" s="468"/>
      <c r="F19" s="323"/>
      <c r="G19" s="422"/>
      <c r="H19" s="467"/>
      <c r="I19" s="468"/>
      <c r="J19" s="468"/>
      <c r="K19" s="477"/>
      <c r="L19" s="482"/>
      <c r="M19" s="473" t="s">
        <v>1067</v>
      </c>
      <c r="N19" s="476"/>
    </row>
    <row r="20" spans="1:14" s="466" customFormat="1" ht="15" customHeight="1">
      <c r="A20" s="468"/>
      <c r="B20" s="468"/>
      <c r="C20" s="468"/>
      <c r="D20" s="468"/>
      <c r="E20" s="468"/>
      <c r="F20" s="323"/>
      <c r="G20" s="422"/>
      <c r="H20" s="467"/>
      <c r="I20" s="468"/>
      <c r="J20" s="468"/>
      <c r="K20" s="467" t="s">
        <v>171</v>
      </c>
      <c r="L20" s="468"/>
      <c r="M20" s="468"/>
      <c r="N20" s="476"/>
    </row>
    <row r="21" spans="1:14" s="466" customFormat="1" ht="15" customHeight="1">
      <c r="A21" s="468"/>
      <c r="B21" s="1674"/>
      <c r="C21" s="1674"/>
      <c r="D21" s="1674"/>
      <c r="E21" s="1674"/>
      <c r="F21" s="323"/>
      <c r="G21" s="422"/>
      <c r="H21" s="467"/>
      <c r="I21" s="468"/>
      <c r="J21" s="468"/>
      <c r="K21" s="465"/>
      <c r="L21" s="323"/>
      <c r="M21" s="323"/>
      <c r="N21" s="476"/>
    </row>
    <row r="22" spans="1:14" s="466" customFormat="1" ht="15.75" hidden="1" customHeight="1">
      <c r="A22" s="468"/>
      <c r="B22" s="1674"/>
      <c r="C22" s="1674"/>
      <c r="D22" s="1674"/>
      <c r="E22" s="468"/>
      <c r="F22" s="323"/>
      <c r="G22" s="422"/>
      <c r="H22" s="467"/>
      <c r="I22" s="468"/>
      <c r="J22" s="468"/>
      <c r="K22" s="465"/>
      <c r="L22" s="323"/>
      <c r="M22" s="323"/>
      <c r="N22" s="476"/>
    </row>
    <row r="23" spans="1:14" s="466" customFormat="1" ht="15.75" hidden="1" customHeight="1">
      <c r="A23" s="468"/>
      <c r="B23" s="1674"/>
      <c r="C23" s="1674"/>
      <c r="D23" s="1674"/>
      <c r="E23" s="468"/>
      <c r="F23" s="323"/>
      <c r="G23" s="422"/>
      <c r="H23" s="467"/>
      <c r="I23" s="468"/>
      <c r="J23" s="468"/>
      <c r="K23" s="465"/>
      <c r="L23" s="323"/>
      <c r="M23" s="323"/>
      <c r="N23" s="476"/>
    </row>
    <row r="24" spans="1:14" s="468" customFormat="1" ht="15.75" hidden="1" customHeight="1">
      <c r="B24" s="1679"/>
      <c r="C24" s="1679"/>
      <c r="D24" s="1679"/>
      <c r="F24" s="483"/>
      <c r="G24" s="422"/>
      <c r="H24" s="467"/>
      <c r="I24" s="422"/>
      <c r="J24" s="422"/>
      <c r="K24" s="467"/>
      <c r="L24" s="323"/>
      <c r="M24" s="339" t="s">
        <v>172</v>
      </c>
    </row>
    <row r="25" spans="1:14" s="468" customFormat="1" ht="15.75" hidden="1" customHeight="1">
      <c r="J25" s="422"/>
      <c r="K25" s="1672" t="s">
        <v>1853</v>
      </c>
      <c r="L25" s="1673"/>
      <c r="M25" s="340"/>
    </row>
    <row r="26" spans="1:14" s="468" customFormat="1" ht="15.75" hidden="1" customHeight="1">
      <c r="B26" s="1675" t="s">
        <v>1072</v>
      </c>
      <c r="C26" s="1675"/>
      <c r="D26" s="1675"/>
      <c r="E26" s="1675"/>
      <c r="F26" s="1675"/>
      <c r="G26" s="1675"/>
      <c r="H26" s="1675"/>
      <c r="I26" s="1675"/>
      <c r="J26" s="1675"/>
      <c r="K26" s="484"/>
      <c r="L26" s="485" t="s">
        <v>1858</v>
      </c>
      <c r="M26" s="486"/>
    </row>
    <row r="27" spans="1:14" s="468" customFormat="1" ht="15.75" customHeight="1">
      <c r="A27" s="422"/>
      <c r="B27" s="487"/>
      <c r="C27" s="488"/>
      <c r="D27" s="488"/>
      <c r="E27" s="489"/>
      <c r="F27" s="323"/>
      <c r="G27" s="422"/>
      <c r="H27" s="467"/>
      <c r="I27" s="422"/>
      <c r="J27" s="422"/>
      <c r="K27" s="407"/>
      <c r="L27" s="433"/>
      <c r="M27" s="323"/>
    </row>
    <row r="28" spans="1:14" s="468" customFormat="1" ht="15.75" customHeight="1">
      <c r="A28" s="422"/>
      <c r="B28" s="422"/>
      <c r="C28" s="422"/>
      <c r="D28" s="422"/>
      <c r="E28" s="323"/>
      <c r="F28" s="241" t="s">
        <v>173</v>
      </c>
      <c r="G28" s="241" t="s">
        <v>174</v>
      </c>
      <c r="H28" s="490"/>
      <c r="I28" s="422"/>
      <c r="J28" s="422"/>
      <c r="K28" s="467"/>
      <c r="L28" s="323"/>
      <c r="M28" s="323"/>
    </row>
    <row r="29" spans="1:14" s="468" customFormat="1" ht="37.5" customHeight="1">
      <c r="A29" s="1675" t="s">
        <v>175</v>
      </c>
      <c r="B29" s="1675"/>
      <c r="C29" s="1675"/>
      <c r="D29" s="1675"/>
      <c r="F29" s="339"/>
      <c r="G29" s="491"/>
      <c r="H29" s="492"/>
      <c r="K29" s="465"/>
      <c r="L29" s="468" t="s">
        <v>176</v>
      </c>
    </row>
    <row r="30" spans="1:14" s="468" customFormat="1" ht="29.25" customHeight="1">
      <c r="A30" s="1683" t="s">
        <v>1073</v>
      </c>
      <c r="B30" s="1683"/>
      <c r="C30" s="1683"/>
      <c r="D30" s="1683"/>
      <c r="E30" s="1683"/>
      <c r="H30" s="465"/>
      <c r="K30" s="465"/>
      <c r="L30" s="468" t="s">
        <v>177</v>
      </c>
    </row>
    <row r="31" spans="1:14" s="468" customFormat="1" ht="18.75" customHeight="1">
      <c r="A31" s="422"/>
      <c r="B31" s="422"/>
      <c r="C31" s="422"/>
      <c r="D31" s="422"/>
      <c r="E31" s="422"/>
      <c r="H31" s="465"/>
      <c r="K31" s="465"/>
      <c r="L31" s="468" t="s">
        <v>1074</v>
      </c>
    </row>
    <row r="32" spans="1:14" s="468" customFormat="1" ht="24" customHeight="1">
      <c r="A32" s="422"/>
      <c r="B32" s="422"/>
      <c r="C32" s="422"/>
      <c r="D32" s="422"/>
      <c r="E32" s="422"/>
      <c r="H32" s="465"/>
      <c r="K32" s="465"/>
      <c r="L32" s="468" t="s">
        <v>1075</v>
      </c>
      <c r="N32" s="468" t="s">
        <v>178</v>
      </c>
    </row>
    <row r="33" spans="1:23" s="469" customFormat="1" ht="27.75" customHeight="1">
      <c r="A33" s="1677" t="s">
        <v>1267</v>
      </c>
      <c r="B33" s="1688" t="s">
        <v>179</v>
      </c>
      <c r="C33" s="1677"/>
      <c r="D33" s="1685" t="s">
        <v>180</v>
      </c>
      <c r="E33" s="1677" t="s">
        <v>181</v>
      </c>
      <c r="F33" s="1677" t="s">
        <v>1013</v>
      </c>
      <c r="G33" s="1677" t="s">
        <v>182</v>
      </c>
      <c r="H33" s="1676" t="s">
        <v>885</v>
      </c>
      <c r="I33" s="1677" t="s">
        <v>886</v>
      </c>
      <c r="J33" s="1677"/>
      <c r="K33" s="1677"/>
      <c r="L33" s="1677"/>
      <c r="M33" s="1693" t="s">
        <v>887</v>
      </c>
      <c r="N33" s="1693" t="s">
        <v>1062</v>
      </c>
    </row>
    <row r="34" spans="1:23" s="469" customFormat="1" ht="267.75">
      <c r="A34" s="1677"/>
      <c r="B34" s="493" t="s">
        <v>1268</v>
      </c>
      <c r="C34" s="241" t="s">
        <v>1269</v>
      </c>
      <c r="D34" s="1685"/>
      <c r="E34" s="1677"/>
      <c r="F34" s="1677"/>
      <c r="G34" s="1677"/>
      <c r="H34" s="1676"/>
      <c r="I34" s="464" t="s">
        <v>1063</v>
      </c>
      <c r="J34" s="464" t="s">
        <v>1064</v>
      </c>
      <c r="K34" s="318" t="s">
        <v>1014</v>
      </c>
      <c r="L34" s="241" t="s">
        <v>1065</v>
      </c>
      <c r="M34" s="1694"/>
      <c r="N34" s="1694"/>
    </row>
    <row r="35" spans="1:23" s="469" customFormat="1" ht="15.75" customHeight="1">
      <c r="A35" s="464">
        <v>1</v>
      </c>
      <c r="B35" s="501" t="s">
        <v>1270</v>
      </c>
      <c r="C35" s="501" t="s">
        <v>1271</v>
      </c>
      <c r="D35" s="501" t="s">
        <v>1272</v>
      </c>
      <c r="E35" s="241">
        <v>5</v>
      </c>
      <c r="F35" s="241">
        <v>6</v>
      </c>
      <c r="G35" s="241">
        <v>7</v>
      </c>
      <c r="H35" s="318">
        <v>8</v>
      </c>
      <c r="I35" s="241">
        <v>9</v>
      </c>
      <c r="J35" s="241"/>
      <c r="K35" s="318">
        <v>10</v>
      </c>
      <c r="L35" s="241">
        <v>11</v>
      </c>
      <c r="M35" s="241">
        <v>12</v>
      </c>
      <c r="N35" s="368">
        <v>13</v>
      </c>
    </row>
    <row r="36" spans="1:23" s="471" customFormat="1" ht="18.75">
      <c r="A36" s="241"/>
      <c r="B36" s="495"/>
      <c r="C36" s="495"/>
      <c r="D36" s="496"/>
      <c r="E36" s="497"/>
      <c r="F36" s="498"/>
      <c r="G36" s="499"/>
      <c r="H36" s="500"/>
      <c r="I36" s="463"/>
      <c r="J36" s="463"/>
      <c r="K36" s="462"/>
      <c r="L36" s="462"/>
      <c r="M36" s="463"/>
      <c r="N36" s="494"/>
      <c r="O36" s="1689"/>
      <c r="P36" s="1690"/>
      <c r="Q36" s="1690"/>
      <c r="R36" s="1690"/>
      <c r="S36" s="1690"/>
      <c r="T36" s="1690"/>
      <c r="U36" s="1690"/>
      <c r="V36" s="1690"/>
      <c r="W36" s="470"/>
    </row>
    <row r="37" spans="1:23" s="471" customFormat="1" ht="15" customHeight="1">
      <c r="A37" s="464"/>
      <c r="B37" s="495"/>
      <c r="C37" s="495"/>
      <c r="D37" s="496"/>
      <c r="E37" s="497"/>
      <c r="F37" s="498"/>
      <c r="G37" s="499"/>
      <c r="H37" s="500"/>
      <c r="I37" s="463"/>
      <c r="J37" s="463"/>
      <c r="K37" s="462"/>
      <c r="L37" s="463"/>
      <c r="M37" s="463"/>
      <c r="N37" s="494"/>
      <c r="O37" s="1691"/>
      <c r="P37" s="1692"/>
      <c r="Q37" s="1692"/>
      <c r="R37" s="1692"/>
      <c r="S37" s="1692"/>
      <c r="T37" s="1692"/>
      <c r="U37" s="1692"/>
      <c r="V37" s="1692"/>
      <c r="W37" s="470"/>
    </row>
    <row r="38" spans="1:23" ht="42" customHeight="1">
      <c r="A38" s="234"/>
      <c r="B38" s="1682"/>
      <c r="C38" s="1682"/>
      <c r="D38" s="234"/>
      <c r="E38" s="234"/>
      <c r="F38" s="234"/>
      <c r="G38" s="234"/>
      <c r="H38" s="234"/>
      <c r="I38" s="234"/>
      <c r="J38" s="234"/>
      <c r="K38" s="234"/>
      <c r="L38" s="234"/>
      <c r="M38" s="234"/>
      <c r="N38" s="234"/>
    </row>
    <row r="39" spans="1:23" ht="123.75" customHeight="1">
      <c r="A39" s="234"/>
      <c r="B39" s="1686" t="s">
        <v>1076</v>
      </c>
      <c r="C39" s="1686"/>
      <c r="D39" s="503"/>
      <c r="E39" s="234"/>
      <c r="F39" s="1687"/>
      <c r="G39" s="1687"/>
      <c r="H39" s="234"/>
      <c r="I39" s="234"/>
      <c r="J39" s="234"/>
      <c r="K39" s="234"/>
      <c r="L39" s="234"/>
      <c r="M39" s="234"/>
      <c r="N39" s="234"/>
    </row>
    <row r="40" spans="1:23" ht="15" customHeight="1">
      <c r="A40" s="234"/>
      <c r="B40" s="1686"/>
      <c r="C40" s="1686"/>
      <c r="D40" s="436" t="s">
        <v>1846</v>
      </c>
      <c r="E40" s="436"/>
      <c r="F40" s="1684" t="s">
        <v>1847</v>
      </c>
      <c r="G40" s="1684"/>
      <c r="H40" s="502"/>
      <c r="I40" s="234"/>
      <c r="J40" s="234"/>
      <c r="K40" s="1462"/>
      <c r="L40" s="1462"/>
      <c r="M40" s="234"/>
      <c r="N40" s="234"/>
    </row>
    <row r="41" spans="1:23" ht="22.5" customHeight="1">
      <c r="B41" s="460"/>
      <c r="C41" s="461"/>
    </row>
    <row r="42" spans="1:23" ht="15.75">
      <c r="B42" s="460"/>
      <c r="C42" s="461"/>
    </row>
    <row r="43" spans="1:23" ht="15.75">
      <c r="B43" s="460"/>
      <c r="C43" s="461"/>
    </row>
    <row r="44" spans="1:23" ht="20.25" customHeight="1">
      <c r="B44" s="460"/>
      <c r="C44" s="461"/>
    </row>
  </sheetData>
  <customSheetViews>
    <customSheetView guid="{CA0FB9E2-E541-4C74-BCFE-D75491869B36}" showPageBreaks="1" printArea="1" view="pageBreakPreview">
      <selection activeCell="B39" sqref="B39:C39"/>
      <pageMargins left="0.70866141732283472" right="0.70866141732283472" top="0.74803149606299213" bottom="0.74803149606299213" header="0.31496062992125984" footer="0.31496062992125984"/>
      <pageSetup paperSize="9" scale="72" orientation="landscape" horizontalDpi="180" verticalDpi="180" r:id="rId1"/>
    </customSheetView>
    <customSheetView guid="{F10E3D8B-5892-420A-B023-68C6496D556B}" showPageBreaks="1" printArea="1">
      <selection activeCell="M1" sqref="M1:Q1"/>
      <pageMargins left="0.70866141732283472" right="0.70866141732283472" top="0.74803149606299213" bottom="0.74803149606299213" header="0.31496062992125984" footer="0.31496062992125984"/>
      <pageSetup paperSize="9" scale="74" orientation="landscape" horizontalDpi="180" verticalDpi="180" r:id="rId2"/>
    </customSheetView>
    <customSheetView guid="{FE7E58EF-FECC-4DF6-BB75-BA97138CB219}" showPageBreaks="1" printArea="1">
      <selection activeCell="M1" sqref="M1:Q1"/>
      <pageMargins left="0.70866141732283472" right="0.70866141732283472" top="0.74803149606299213" bottom="0.74803149606299213" header="0.31496062992125984" footer="0.31496062992125984"/>
      <pageSetup paperSize="9" scale="74" orientation="landscape" horizontalDpi="180" verticalDpi="180" r:id="rId3"/>
    </customSheetView>
    <customSheetView guid="{43136B00-66C6-4289-99D3-5EF20611F834}" showPageBreaks="1" printArea="1">
      <selection activeCell="A17" sqref="A17:D17"/>
      <pageMargins left="0.70866141732283472" right="0.70866141732283472" top="0.74803149606299213" bottom="0.74803149606299213" header="0.31496062992125984" footer="0.31496062992125984"/>
      <pageSetup paperSize="9" scale="74" orientation="landscape" horizontalDpi="180" verticalDpi="180" r:id="rId4"/>
    </customSheetView>
    <customSheetView guid="{22820B9F-10DE-4629-AF3D-4AF98A9BCEDB}" showPageBreaks="1" printArea="1" view="pageBreakPreview" topLeftCell="A16">
      <selection activeCell="M5" sqref="M5"/>
      <pageMargins left="0.70866141732283472" right="0.70866141732283472" top="0.74803149606299213" bottom="0.74803149606299213" header="0.31496062992125984" footer="0.31496062992125984"/>
      <pageSetup paperSize="9" scale="72" orientation="landscape" horizontalDpi="180" verticalDpi="180" r:id="rId5"/>
    </customSheetView>
  </customSheetViews>
  <mergeCells count="41">
    <mergeCell ref="O36:V36"/>
    <mergeCell ref="O37:V37"/>
    <mergeCell ref="K40:L40"/>
    <mergeCell ref="M33:M34"/>
    <mergeCell ref="N33:N34"/>
    <mergeCell ref="F40:G40"/>
    <mergeCell ref="D33:D34"/>
    <mergeCell ref="B38:C38"/>
    <mergeCell ref="F33:F34"/>
    <mergeCell ref="G33:G34"/>
    <mergeCell ref="B39:C39"/>
    <mergeCell ref="E33:E34"/>
    <mergeCell ref="F39:G39"/>
    <mergeCell ref="B33:C33"/>
    <mergeCell ref="B40:C40"/>
    <mergeCell ref="M14:N14"/>
    <mergeCell ref="A10:N10"/>
    <mergeCell ref="B12:C12"/>
    <mergeCell ref="B15:D15"/>
    <mergeCell ref="B21:E21"/>
    <mergeCell ref="B17:D17"/>
    <mergeCell ref="B18:E18"/>
    <mergeCell ref="B16:D16"/>
    <mergeCell ref="L11:N11"/>
    <mergeCell ref="M12:N12"/>
    <mergeCell ref="B22:D22"/>
    <mergeCell ref="B24:D24"/>
    <mergeCell ref="A2:N2"/>
    <mergeCell ref="M4:N4"/>
    <mergeCell ref="M15:N15"/>
    <mergeCell ref="B13:D13"/>
    <mergeCell ref="B14:D14"/>
    <mergeCell ref="M13:N13"/>
    <mergeCell ref="K25:L25"/>
    <mergeCell ref="B23:D23"/>
    <mergeCell ref="A29:D29"/>
    <mergeCell ref="B26:J26"/>
    <mergeCell ref="H33:H34"/>
    <mergeCell ref="I33:L33"/>
    <mergeCell ref="A30:E30"/>
    <mergeCell ref="A33:A34"/>
  </mergeCells>
  <phoneticPr fontId="116" type="noConversion"/>
  <pageMargins left="0.70866141732283472" right="0.70866141732283472" top="0.74803149606299213" bottom="0.74803149606299213" header="0.31496062992125984" footer="0.31496062992125984"/>
  <pageSetup paperSize="9" scale="70" orientation="landscape" horizontalDpi="180" verticalDpi="180" r:id="rId6"/>
</worksheet>
</file>

<file path=xl/worksheets/sheet14.xml><?xml version="1.0" encoding="utf-8"?>
<worksheet xmlns="http://schemas.openxmlformats.org/spreadsheetml/2006/main" xmlns:r="http://schemas.openxmlformats.org/officeDocument/2006/relationships">
  <sheetPr>
    <tabColor theme="0" tint="-0.499984740745262"/>
  </sheetPr>
  <dimension ref="A1:I95"/>
  <sheetViews>
    <sheetView view="pageBreakPreview" topLeftCell="A78" zoomScale="84" zoomScaleNormal="93" zoomScaleSheetLayoutView="84" workbookViewId="0">
      <selection activeCell="B92" sqref="B92:D93"/>
    </sheetView>
  </sheetViews>
  <sheetFormatPr defaultRowHeight="12.75"/>
  <cols>
    <col min="1" max="1" width="7.85546875" style="736" customWidth="1"/>
    <col min="2" max="2" width="60.85546875" style="736" customWidth="1"/>
    <col min="3" max="3" width="19" style="736" customWidth="1"/>
    <col min="4" max="4" width="20.28515625" style="736" customWidth="1"/>
    <col min="5" max="5" width="18.5703125" style="736" customWidth="1"/>
    <col min="6" max="6" width="18.42578125" style="736" customWidth="1"/>
    <col min="7" max="7" width="10.42578125" style="725" customWidth="1"/>
    <col min="8" max="8" width="13.85546875" style="725" customWidth="1"/>
    <col min="9" max="16384" width="9.140625" style="725"/>
  </cols>
  <sheetData>
    <row r="1" spans="1:7" s="724" customFormat="1" ht="15" customHeight="1">
      <c r="A1" s="784"/>
      <c r="B1" s="784"/>
      <c r="C1" s="784"/>
      <c r="D1" s="791" t="s">
        <v>150</v>
      </c>
      <c r="E1" s="785"/>
      <c r="F1" s="723"/>
    </row>
    <row r="2" spans="1:7" ht="34.5" customHeight="1">
      <c r="A2" s="1695" t="s">
        <v>1274</v>
      </c>
      <c r="B2" s="1695"/>
      <c r="C2" s="1695"/>
      <c r="D2" s="784"/>
      <c r="E2" s="784"/>
      <c r="F2" s="481"/>
    </row>
    <row r="3" spans="1:7" ht="19.5" customHeight="1">
      <c r="A3" s="1696" t="s">
        <v>442</v>
      </c>
      <c r="B3" s="1696"/>
      <c r="C3" s="1696"/>
      <c r="D3" s="784"/>
      <c r="E3" s="784"/>
      <c r="F3" s="481"/>
    </row>
    <row r="4" spans="1:7" ht="20.25" customHeight="1">
      <c r="A4" s="532"/>
      <c r="B4" s="532"/>
      <c r="C4" s="532"/>
      <c r="D4" s="784"/>
      <c r="E4" s="784"/>
      <c r="F4" s="481"/>
    </row>
    <row r="5" spans="1:7" s="732" customFormat="1" ht="16.5" customHeight="1">
      <c r="A5" s="727"/>
      <c r="B5" s="728" t="s">
        <v>1275</v>
      </c>
      <c r="C5" s="729" t="s">
        <v>1276</v>
      </c>
      <c r="D5" s="730"/>
      <c r="E5" s="730"/>
      <c r="F5" s="731"/>
    </row>
    <row r="6" spans="1:7" s="736" customFormat="1" ht="20.25" customHeight="1">
      <c r="A6" s="733"/>
      <c r="B6" s="726" t="s">
        <v>1277</v>
      </c>
      <c r="C6" s="734">
        <f>'[3]ТИНСКАЯ с 01.12.2017'!H35+'[3]ТИНСКАЯ с 01.12.2017'!H36+'[3]ТИНСКАЯ с 01.12.2017'!H37+'[3]ТИНСКАЯ с 01.12.2017'!H38+'[3]ТИНСКАЯ с 01.12.2017'!H39+'[3]ТИНСКАЯ с 01.12.2017'!H40+'[3]ТИНСКАЯ с 01.12.2017'!H41+'[3]ТИНСКАЯ с 01.12.2017'!H42+'[3]ТИНСКАЯ с 01.12.2017'!H43+'[3]ТИНСКАЯ с 01.12.2017'!H44</f>
        <v>187796.13</v>
      </c>
      <c r="D6" s="726"/>
      <c r="E6" s="726"/>
      <c r="F6" s="735"/>
    </row>
    <row r="7" spans="1:7" s="736" customFormat="1" ht="31.5">
      <c r="A7" s="733"/>
      <c r="B7" s="726" t="s">
        <v>1278</v>
      </c>
      <c r="C7" s="734">
        <f>'[3]ТИНСКАЯ с 01.12.2017'!J35+'[3]ТИНСКАЯ с 01.12.2017'!J36+'[3]ТИНСКАЯ с 01.12.2017'!J37+'[3]ТИНСКАЯ с 01.12.2017'!J38+'[3]ТИНСКАЯ с 01.12.2017'!J39+'[3]ТИНСКАЯ с 01.12.2017'!J40+'[3]ТИНСКАЯ с 01.12.2017'!J41+'[3]ТИНСКАЯ с 01.12.2017'!J42+'[3]ТИНСКАЯ с 01.12.2017'!J43+'[3]ТИНСКАЯ с 01.12.2017'!J44+'[3]ТИНСКАЯ с 01.12.2017'!K35+'[3]ТИНСКАЯ с 01.12.2017'!K36+'[3]ТИНСКАЯ с 01.12.2017'!K37+'[3]ТИНСКАЯ с 01.12.2017'!K38+'[3]ТИНСКАЯ с 01.12.2017'!K39+'[3]ТИНСКАЯ с 01.12.2017'!K40+'[3]ТИНСКАЯ с 01.12.2017'!K41+'[3]ТИНСКАЯ с 01.12.2017'!K42+'[3]ТИНСКАЯ с 01.12.2017'!K43+'[3]ТИНСКАЯ с 01.12.2017'!K44+'[3]ТИНСКАЯ с 01.12.2017'!L35+'[3]ТИНСКАЯ с 01.12.2017'!L36+'[3]ТИНСКАЯ с 01.12.2017'!L37+'[3]ТИНСКАЯ с 01.12.2017'!L38+'[3]ТИНСКАЯ с 01.12.2017'!L39+'[3]ТИНСКАЯ с 01.12.2017'!L40+'[3]ТИНСКАЯ с 01.12.2017'!L41+'[3]ТИНСКАЯ с 01.12.2017'!L42+'[3]ТИНСКАЯ с 01.12.2017'!L43+'[3]ТИНСКАЯ с 01.12.2017'!L44+'[3]ТИНСКАЯ с 01.12.2017'!M35+'[3]ТИНСКАЯ с 01.12.2017'!M36+'[3]ТИНСКАЯ с 01.12.2017'!O39</f>
        <v>114652.81</v>
      </c>
      <c r="D7" s="737"/>
      <c r="E7" s="737"/>
      <c r="F7" s="735"/>
    </row>
    <row r="8" spans="1:7" s="740" customFormat="1" ht="51.75" customHeight="1">
      <c r="A8" s="738"/>
      <c r="B8" s="739" t="s">
        <v>238</v>
      </c>
      <c r="C8" s="734">
        <f>ROUND((C6+C7)*60%,2)+C6+C7</f>
        <v>483918.3</v>
      </c>
      <c r="D8" s="734"/>
      <c r="E8" s="734"/>
      <c r="F8" s="735"/>
      <c r="G8" s="736"/>
    </row>
    <row r="9" spans="1:7" s="740" customFormat="1" ht="18.75" customHeight="1">
      <c r="A9" s="741"/>
      <c r="B9" s="742" t="s">
        <v>1280</v>
      </c>
      <c r="C9" s="734">
        <f>C8</f>
        <v>483918.3</v>
      </c>
      <c r="D9" s="743"/>
      <c r="E9" s="743"/>
      <c r="F9" s="735"/>
      <c r="G9" s="736"/>
    </row>
    <row r="10" spans="1:7" s="740" customFormat="1" ht="15.75" customHeight="1">
      <c r="A10" s="744"/>
      <c r="B10" s="744" t="s">
        <v>1281</v>
      </c>
      <c r="C10" s="745">
        <f>'[3]ТИНСКАЯ с 01.12.2017'!P69</f>
        <v>223691.377539115</v>
      </c>
      <c r="D10" s="746"/>
      <c r="E10" s="746"/>
      <c r="F10" s="744"/>
    </row>
    <row r="11" spans="1:7" s="750" customFormat="1" ht="18.75" customHeight="1">
      <c r="A11" s="747"/>
      <c r="B11" s="748" t="s">
        <v>1282</v>
      </c>
      <c r="C11" s="734">
        <f>ROUND(C9+C10,2)</f>
        <v>707609.68</v>
      </c>
      <c r="D11" s="749"/>
      <c r="E11" s="749"/>
      <c r="F11" s="735"/>
      <c r="G11" s="736"/>
    </row>
    <row r="12" spans="1:7" s="750" customFormat="1" ht="21" customHeight="1">
      <c r="A12" s="751"/>
      <c r="B12" s="751" t="s">
        <v>239</v>
      </c>
      <c r="C12" s="734">
        <f>ROUND(517439.02*8,2)</f>
        <v>4139512.16</v>
      </c>
      <c r="D12" s="749"/>
      <c r="E12" s="749"/>
      <c r="F12" s="749"/>
    </row>
    <row r="13" spans="1:7" s="750" customFormat="1" ht="21.75" customHeight="1">
      <c r="A13" s="751"/>
      <c r="B13" s="751" t="s">
        <v>240</v>
      </c>
      <c r="C13" s="734">
        <f>ROUND(167765.88*8,2)</f>
        <v>1342127.04</v>
      </c>
      <c r="D13" s="749"/>
      <c r="E13" s="749"/>
      <c r="F13" s="749"/>
    </row>
    <row r="14" spans="1:7" s="750" customFormat="1" ht="22.5" customHeight="1">
      <c r="A14" s="751"/>
      <c r="B14" s="752" t="s">
        <v>241</v>
      </c>
      <c r="C14" s="753">
        <f>ROUND(C13+C12,2)</f>
        <v>5481639.2000000002</v>
      </c>
      <c r="D14" s="749"/>
      <c r="E14" s="749"/>
      <c r="F14" s="735"/>
      <c r="G14" s="736"/>
    </row>
    <row r="15" spans="1:7" s="750" customFormat="1" ht="21" customHeight="1">
      <c r="A15" s="751"/>
      <c r="B15" s="751" t="s">
        <v>242</v>
      </c>
      <c r="C15" s="734">
        <f>ROUND(1935673.2/4*3,2)</f>
        <v>1451754.9</v>
      </c>
      <c r="D15" s="749"/>
      <c r="E15" s="749"/>
      <c r="F15" s="749"/>
    </row>
    <row r="16" spans="1:7" s="750" customFormat="1" ht="20.25" customHeight="1">
      <c r="A16" s="751"/>
      <c r="B16" s="751" t="s">
        <v>243</v>
      </c>
      <c r="C16" s="734">
        <f>ROUND(805146.4/4*3,2)</f>
        <v>603859.80000000005</v>
      </c>
      <c r="D16" s="749"/>
      <c r="E16" s="749"/>
      <c r="F16" s="749"/>
    </row>
    <row r="17" spans="1:9" s="750" customFormat="1" ht="22.5" customHeight="1">
      <c r="A17" s="751"/>
      <c r="B17" s="752" t="s">
        <v>244</v>
      </c>
      <c r="C17" s="753">
        <f>ROUND(C16+C15,2)</f>
        <v>2055614.7</v>
      </c>
      <c r="D17" s="749"/>
      <c r="E17" s="749"/>
      <c r="F17" s="749"/>
    </row>
    <row r="18" spans="1:9" s="750" customFormat="1" ht="21" customHeight="1">
      <c r="A18" s="751"/>
      <c r="B18" s="751" t="s">
        <v>245</v>
      </c>
      <c r="C18" s="734">
        <f>ROUND(C9*1,2)</f>
        <v>483918.3</v>
      </c>
      <c r="D18" s="749"/>
      <c r="E18" s="749"/>
      <c r="F18" s="754">
        <v>22404.78</v>
      </c>
      <c r="G18" s="755">
        <v>211</v>
      </c>
      <c r="H18" s="756" t="s">
        <v>246</v>
      </c>
      <c r="I18" s="741"/>
    </row>
    <row r="19" spans="1:9" s="750" customFormat="1" ht="20.25" customHeight="1">
      <c r="A19" s="751"/>
      <c r="B19" s="751" t="s">
        <v>247</v>
      </c>
      <c r="C19" s="734">
        <f>ROUND(C10*1,2)</f>
        <v>223691.38</v>
      </c>
      <c r="D19" s="749"/>
      <c r="E19" s="749"/>
      <c r="F19" s="757">
        <v>6766.24</v>
      </c>
      <c r="G19" s="755">
        <v>213</v>
      </c>
      <c r="H19" s="741"/>
      <c r="I19" s="741"/>
    </row>
    <row r="20" spans="1:9" s="750" customFormat="1" ht="22.5" customHeight="1">
      <c r="A20" s="751"/>
      <c r="B20" s="752" t="s">
        <v>248</v>
      </c>
      <c r="C20" s="753">
        <f>ROUND(C19+C18,2)</f>
        <v>707609.68</v>
      </c>
      <c r="D20" s="749"/>
      <c r="E20" s="749">
        <v>8222458.7999999998</v>
      </c>
      <c r="F20" s="749"/>
    </row>
    <row r="21" spans="1:9" s="750" customFormat="1" ht="38.25" hidden="1" customHeight="1">
      <c r="A21" s="751"/>
      <c r="B21" s="758" t="s">
        <v>249</v>
      </c>
      <c r="C21" s="734">
        <v>0</v>
      </c>
      <c r="D21" s="749"/>
      <c r="E21" s="749"/>
      <c r="F21" s="749"/>
    </row>
    <row r="22" spans="1:9" s="750" customFormat="1" ht="18" customHeight="1">
      <c r="A22" s="759"/>
      <c r="B22" s="760" t="s">
        <v>1283</v>
      </c>
      <c r="C22" s="753">
        <f>C14+C21+C17+C20</f>
        <v>8244863.5800000001</v>
      </c>
      <c r="D22" s="761"/>
      <c r="E22" s="761">
        <f>E20+F18</f>
        <v>8244863.5800000001</v>
      </c>
      <c r="F22" s="735"/>
      <c r="G22" s="736"/>
    </row>
    <row r="23" spans="1:9" s="750" customFormat="1" ht="21" customHeight="1">
      <c r="A23" s="759"/>
      <c r="B23" s="760"/>
      <c r="C23" s="753"/>
      <c r="D23" s="761"/>
      <c r="E23" s="761"/>
      <c r="F23" s="749"/>
    </row>
    <row r="24" spans="1:9" s="732" customFormat="1" ht="16.5" customHeight="1">
      <c r="A24" s="727"/>
      <c r="B24" s="728" t="s">
        <v>1284</v>
      </c>
      <c r="C24" s="729" t="s">
        <v>1276</v>
      </c>
      <c r="D24" s="730"/>
      <c r="E24" s="730"/>
      <c r="F24" s="731"/>
    </row>
    <row r="25" spans="1:9" s="736" customFormat="1" ht="20.25" customHeight="1">
      <c r="A25" s="733"/>
      <c r="B25" s="726" t="s">
        <v>1277</v>
      </c>
      <c r="C25" s="734">
        <f>'[3]ТИНСКАЯ с 01.12.2017'!H45</f>
        <v>1364.25</v>
      </c>
      <c r="D25" s="726"/>
      <c r="E25" s="726"/>
      <c r="F25" s="735"/>
    </row>
    <row r="26" spans="1:9" s="736" customFormat="1" ht="31.5">
      <c r="A26" s="733"/>
      <c r="B26" s="726" t="s">
        <v>1278</v>
      </c>
      <c r="C26" s="734">
        <f>'[3]ТИНСКАЯ с 01.12.2017'!J45+'[3]ТИНСКАЯ с 01.12.2017'!K45+'[3]ТИНСКАЯ с 01.12.2017'!L45</f>
        <v>886.76</v>
      </c>
      <c r="D26" s="737"/>
      <c r="E26" s="737"/>
      <c r="F26" s="735"/>
    </row>
    <row r="27" spans="1:9" s="740" customFormat="1" ht="51.75" customHeight="1">
      <c r="A27" s="738"/>
      <c r="B27" s="739" t="s">
        <v>238</v>
      </c>
      <c r="C27" s="734">
        <f>ROUND((C25+C26)*60%,2)+C25+C26</f>
        <v>3601.62</v>
      </c>
      <c r="D27" s="734"/>
      <c r="E27" s="734"/>
      <c r="F27" s="735"/>
      <c r="G27" s="736"/>
    </row>
    <row r="28" spans="1:9" s="740" customFormat="1" ht="20.25" customHeight="1">
      <c r="A28" s="741"/>
      <c r="B28" s="742" t="s">
        <v>1280</v>
      </c>
      <c r="C28" s="734">
        <f>C27</f>
        <v>3601.62</v>
      </c>
      <c r="D28" s="743"/>
      <c r="E28" s="743"/>
      <c r="F28" s="735"/>
      <c r="G28" s="736"/>
    </row>
    <row r="29" spans="1:9" s="740" customFormat="1" ht="15.75" customHeight="1">
      <c r="A29" s="744"/>
      <c r="B29" s="744" t="s">
        <v>1281</v>
      </c>
      <c r="C29" s="745">
        <f>'[3]ТИНСКАЯ с 01.12.2017'!P86</f>
        <v>899.3601642646363</v>
      </c>
      <c r="D29" s="746"/>
      <c r="E29" s="746"/>
      <c r="F29" s="744"/>
    </row>
    <row r="30" spans="1:9" s="750" customFormat="1" ht="18.75" customHeight="1">
      <c r="A30" s="747"/>
      <c r="B30" s="748" t="s">
        <v>1282</v>
      </c>
      <c r="C30" s="734">
        <f>ROUND(C28+C29,2)</f>
        <v>4500.9799999999996</v>
      </c>
      <c r="D30" s="749"/>
      <c r="E30" s="749"/>
      <c r="F30" s="735"/>
      <c r="G30" s="736"/>
    </row>
    <row r="31" spans="1:9" s="750" customFormat="1" ht="21" customHeight="1">
      <c r="A31" s="751"/>
      <c r="B31" s="751" t="s">
        <v>250</v>
      </c>
      <c r="C31" s="734">
        <f>ROUND(C28*12,2)</f>
        <v>43219.44</v>
      </c>
      <c r="D31" s="749"/>
      <c r="E31" s="749"/>
      <c r="F31" s="749"/>
    </row>
    <row r="32" spans="1:9" s="750" customFormat="1" ht="18.75" customHeight="1">
      <c r="A32" s="751"/>
      <c r="B32" s="751" t="s">
        <v>251</v>
      </c>
      <c r="C32" s="734">
        <f>ROUND(C29*12,2)</f>
        <v>10792.32</v>
      </c>
      <c r="D32" s="749"/>
      <c r="E32" s="749"/>
      <c r="F32" s="749"/>
    </row>
    <row r="33" spans="1:7" s="750" customFormat="1" ht="21.75" customHeight="1">
      <c r="A33" s="751"/>
      <c r="B33" s="752" t="s">
        <v>252</v>
      </c>
      <c r="C33" s="753">
        <f>ROUND(C32+C31,2)</f>
        <v>54011.76</v>
      </c>
      <c r="D33" s="749"/>
      <c r="E33" s="749"/>
      <c r="F33" s="749"/>
    </row>
    <row r="34" spans="1:7" s="750" customFormat="1" ht="15.75">
      <c r="A34" s="759"/>
      <c r="B34" s="760" t="s">
        <v>1285</v>
      </c>
      <c r="C34" s="753">
        <f>C33</f>
        <v>54011.76</v>
      </c>
      <c r="D34" s="761"/>
      <c r="E34" s="761">
        <f>C34/12</f>
        <v>4500.9800000000005</v>
      </c>
      <c r="F34" s="735">
        <v>0.25</v>
      </c>
      <c r="G34" s="736">
        <f>E34/F34</f>
        <v>18003.920000000002</v>
      </c>
    </row>
    <row r="35" spans="1:7" s="750" customFormat="1" ht="22.5" customHeight="1">
      <c r="A35" s="759"/>
      <c r="B35" s="760"/>
      <c r="C35" s="753"/>
      <c r="D35" s="761"/>
      <c r="E35" s="761"/>
      <c r="F35" s="749"/>
    </row>
    <row r="36" spans="1:7" s="732" customFormat="1" ht="16.5" customHeight="1">
      <c r="A36" s="727"/>
      <c r="B36" s="728" t="s">
        <v>1286</v>
      </c>
      <c r="C36" s="729" t="s">
        <v>1276</v>
      </c>
      <c r="D36" s="730"/>
      <c r="E36" s="730"/>
      <c r="F36" s="731"/>
    </row>
    <row r="37" spans="1:7" s="736" customFormat="1" ht="20.25" customHeight="1">
      <c r="A37" s="733"/>
      <c r="B37" s="726" t="s">
        <v>1277</v>
      </c>
      <c r="C37" s="734">
        <f>'[3]ТИНСКАЯ с 01.12.2017'!H46+'[3]ТИНСКАЯ с 01.12.2017'!H47</f>
        <v>4426.75</v>
      </c>
      <c r="D37" s="726"/>
      <c r="E37" s="726"/>
      <c r="F37" s="735"/>
    </row>
    <row r="38" spans="1:7" s="736" customFormat="1" ht="31.5">
      <c r="A38" s="733"/>
      <c r="B38" s="726" t="s">
        <v>1278</v>
      </c>
      <c r="C38" s="734">
        <f>'[3]ТИНСКАЯ с 01.12.2017'!J46+'[3]ТИНСКАЯ с 01.12.2017'!K46+'[3]ТИНСКАЯ с 01.12.2017'!L46+'[3]ТИНСКАЯ с 01.12.2017'!J47+'[3]ТИНСКАЯ с 01.12.2017'!K47+'[3]ТИНСКАЯ с 01.12.2017'!L47</f>
        <v>2877.39</v>
      </c>
      <c r="D38" s="737"/>
      <c r="E38" s="737"/>
      <c r="F38" s="735"/>
    </row>
    <row r="39" spans="1:7" s="740" customFormat="1" ht="51.75" customHeight="1">
      <c r="A39" s="738"/>
      <c r="B39" s="739" t="s">
        <v>238</v>
      </c>
      <c r="C39" s="734">
        <f>ROUND((C37+C38)*60%,2)+C37+C38</f>
        <v>11686.619999999999</v>
      </c>
      <c r="D39" s="734"/>
      <c r="E39" s="734"/>
      <c r="F39" s="735"/>
      <c r="G39" s="736"/>
    </row>
    <row r="40" spans="1:7" s="740" customFormat="1" ht="19.5" customHeight="1">
      <c r="A40" s="741"/>
      <c r="B40" s="742" t="s">
        <v>1280</v>
      </c>
      <c r="C40" s="734">
        <f>C39</f>
        <v>11686.619999999999</v>
      </c>
      <c r="D40" s="743"/>
      <c r="E40" s="743"/>
      <c r="F40" s="735"/>
      <c r="G40" s="736"/>
    </row>
    <row r="41" spans="1:7" s="740" customFormat="1" ht="15.75" customHeight="1">
      <c r="A41" s="744"/>
      <c r="B41" s="744" t="s">
        <v>1281</v>
      </c>
      <c r="C41" s="745">
        <f>'[3]ТИНСКАЯ с 01.12.2017'!P103</f>
        <v>13778.118336572874</v>
      </c>
      <c r="D41" s="746"/>
      <c r="E41" s="746"/>
      <c r="F41" s="744"/>
    </row>
    <row r="42" spans="1:7" s="750" customFormat="1" ht="18.75" customHeight="1">
      <c r="A42" s="747"/>
      <c r="B42" s="748" t="s">
        <v>1282</v>
      </c>
      <c r="C42" s="734">
        <f>ROUND(C40+C41,2)</f>
        <v>25464.74</v>
      </c>
      <c r="D42" s="749"/>
      <c r="E42" s="749"/>
      <c r="F42" s="735"/>
      <c r="G42" s="736"/>
    </row>
    <row r="43" spans="1:7" s="750" customFormat="1" ht="21" customHeight="1">
      <c r="A43" s="751"/>
      <c r="B43" s="751" t="s">
        <v>253</v>
      </c>
      <c r="C43" s="734">
        <f>ROUND(11686.62*9,2)</f>
        <v>105179.58</v>
      </c>
      <c r="D43" s="749"/>
      <c r="E43" s="749"/>
      <c r="F43" s="749"/>
    </row>
    <row r="44" spans="1:7" s="750" customFormat="1" ht="18.75" customHeight="1">
      <c r="A44" s="751"/>
      <c r="B44" s="751" t="s">
        <v>254</v>
      </c>
      <c r="C44" s="734">
        <f>ROUND(2216.49*9,2)</f>
        <v>19948.41</v>
      </c>
      <c r="D44" s="749"/>
      <c r="E44" s="749"/>
      <c r="F44" s="749"/>
    </row>
    <row r="45" spans="1:7" s="750" customFormat="1" ht="21.75" customHeight="1">
      <c r="A45" s="751"/>
      <c r="B45" s="752" t="s">
        <v>255</v>
      </c>
      <c r="C45" s="753">
        <f>ROUND(C44+C43,2)</f>
        <v>125127.99</v>
      </c>
      <c r="D45" s="749"/>
      <c r="E45" s="761"/>
      <c r="F45" s="735"/>
      <c r="G45" s="762"/>
    </row>
    <row r="46" spans="1:7" s="750" customFormat="1" ht="21" customHeight="1">
      <c r="A46" s="751"/>
      <c r="B46" s="751" t="s">
        <v>256</v>
      </c>
      <c r="C46" s="734">
        <f>ROUND(35059.86/3*2,2)</f>
        <v>23373.24</v>
      </c>
      <c r="D46" s="749"/>
      <c r="E46" s="749"/>
      <c r="F46" s="749"/>
    </row>
    <row r="47" spans="1:7" s="750" customFormat="1" ht="18.75" customHeight="1">
      <c r="A47" s="751"/>
      <c r="B47" s="751" t="s">
        <v>257</v>
      </c>
      <c r="C47" s="734">
        <f>ROUND(22422.58/3*2,2)</f>
        <v>14948.39</v>
      </c>
      <c r="D47" s="749"/>
      <c r="E47" s="749"/>
      <c r="F47" s="749"/>
    </row>
    <row r="48" spans="1:7" s="750" customFormat="1" ht="21.75" customHeight="1">
      <c r="A48" s="751"/>
      <c r="B48" s="752" t="s">
        <v>258</v>
      </c>
      <c r="C48" s="753">
        <f>ROUND(C47+C46,2)</f>
        <v>38321.629999999997</v>
      </c>
      <c r="D48" s="749"/>
      <c r="E48" s="761"/>
      <c r="F48" s="735"/>
      <c r="G48" s="762"/>
    </row>
    <row r="49" spans="1:9" s="750" customFormat="1" ht="21" customHeight="1">
      <c r="A49" s="751"/>
      <c r="B49" s="751" t="s">
        <v>245</v>
      </c>
      <c r="C49" s="734">
        <f>ROUND(C40*1,2)</f>
        <v>11686.62</v>
      </c>
      <c r="D49" s="749"/>
      <c r="E49" s="749"/>
      <c r="F49" s="754">
        <v>6303.93</v>
      </c>
      <c r="G49" s="755">
        <v>211</v>
      </c>
      <c r="H49" s="756" t="s">
        <v>246</v>
      </c>
      <c r="I49" s="741"/>
    </row>
    <row r="50" spans="1:9" s="750" customFormat="1" ht="18.75" customHeight="1">
      <c r="A50" s="751"/>
      <c r="B50" s="751" t="s">
        <v>247</v>
      </c>
      <c r="C50" s="734">
        <f>ROUND(C41*1,2)</f>
        <v>13778.12</v>
      </c>
      <c r="D50" s="749"/>
      <c r="E50" s="749">
        <v>166837.32</v>
      </c>
      <c r="F50" s="757">
        <v>1903.78</v>
      </c>
      <c r="G50" s="755">
        <v>213</v>
      </c>
      <c r="H50" s="741"/>
      <c r="I50" s="741"/>
    </row>
    <row r="51" spans="1:9" s="750" customFormat="1" ht="21.75" customHeight="1">
      <c r="A51" s="751"/>
      <c r="B51" s="752" t="s">
        <v>248</v>
      </c>
      <c r="C51" s="753">
        <f>ROUND(C50+C49,2)</f>
        <v>25464.74</v>
      </c>
      <c r="D51" s="749"/>
      <c r="E51" s="761">
        <f>E50+F52</f>
        <v>182610.43</v>
      </c>
      <c r="F51" s="763">
        <f>C51/3</f>
        <v>8488.2466666666678</v>
      </c>
      <c r="G51" s="741"/>
      <c r="H51" s="741"/>
      <c r="I51" s="741"/>
    </row>
    <row r="52" spans="1:9" s="750" customFormat="1" ht="15.75">
      <c r="A52" s="759"/>
      <c r="B52" s="760" t="s">
        <v>1287</v>
      </c>
      <c r="C52" s="753">
        <f>C45+C48+C51</f>
        <v>188914.36</v>
      </c>
      <c r="D52" s="761"/>
      <c r="E52" s="764">
        <f>E51+F49</f>
        <v>188914.36</v>
      </c>
      <c r="F52" s="750">
        <v>15773.11</v>
      </c>
      <c r="G52" s="750" t="s">
        <v>259</v>
      </c>
    </row>
    <row r="53" spans="1:9" s="750" customFormat="1" ht="27.75" customHeight="1">
      <c r="A53" s="759"/>
      <c r="B53" s="760"/>
      <c r="C53" s="753"/>
      <c r="D53" s="761"/>
      <c r="E53" s="761"/>
      <c r="F53" s="749"/>
    </row>
    <row r="54" spans="1:9" s="732" customFormat="1" ht="16.5" hidden="1" customHeight="1">
      <c r="A54" s="727"/>
      <c r="B54" s="728" t="s">
        <v>1288</v>
      </c>
      <c r="C54" s="729" t="s">
        <v>1276</v>
      </c>
      <c r="D54" s="730"/>
      <c r="E54" s="730"/>
      <c r="F54" s="731"/>
    </row>
    <row r="55" spans="1:9" s="736" customFormat="1" ht="20.25" hidden="1" customHeight="1">
      <c r="A55" s="733"/>
      <c r="B55" s="726" t="s">
        <v>1277</v>
      </c>
      <c r="C55" s="734">
        <v>0</v>
      </c>
      <c r="D55" s="726"/>
      <c r="E55" s="726"/>
      <c r="F55" s="735"/>
    </row>
    <row r="56" spans="1:9" s="736" customFormat="1" ht="31.5" hidden="1">
      <c r="A56" s="733"/>
      <c r="B56" s="726" t="s">
        <v>1278</v>
      </c>
      <c r="C56" s="734">
        <v>0</v>
      </c>
      <c r="D56" s="737"/>
      <c r="E56" s="737"/>
      <c r="F56" s="735"/>
    </row>
    <row r="57" spans="1:9" s="740" customFormat="1" ht="51.75" hidden="1" customHeight="1">
      <c r="A57" s="738"/>
      <c r="B57" s="739" t="s">
        <v>1279</v>
      </c>
      <c r="C57" s="734">
        <v>0</v>
      </c>
      <c r="D57" s="734"/>
      <c r="E57" s="734"/>
      <c r="F57" s="765"/>
    </row>
    <row r="58" spans="1:9" s="740" customFormat="1" ht="18.75" hidden="1" customHeight="1">
      <c r="A58" s="741"/>
      <c r="B58" s="742" t="s">
        <v>1280</v>
      </c>
      <c r="C58" s="734">
        <v>0</v>
      </c>
      <c r="D58" s="741"/>
      <c r="E58" s="741"/>
      <c r="F58" s="749"/>
    </row>
    <row r="59" spans="1:9" s="740" customFormat="1" ht="18.75" hidden="1" customHeight="1">
      <c r="A59" s="744"/>
      <c r="B59" s="744" t="s">
        <v>1281</v>
      </c>
      <c r="C59" s="745">
        <v>0</v>
      </c>
      <c r="D59" s="746"/>
      <c r="E59" s="746"/>
      <c r="F59" s="744"/>
    </row>
    <row r="60" spans="1:9" s="750" customFormat="1" ht="18.75" hidden="1" customHeight="1">
      <c r="A60" s="747"/>
      <c r="B60" s="748" t="s">
        <v>1282</v>
      </c>
      <c r="C60" s="734">
        <f>ROUND(C58+C59,2)</f>
        <v>0</v>
      </c>
      <c r="D60" s="749"/>
      <c r="E60" s="749"/>
      <c r="F60" s="749"/>
    </row>
    <row r="61" spans="1:9" s="750" customFormat="1" ht="21" hidden="1" customHeight="1">
      <c r="A61" s="751"/>
      <c r="B61" s="751" t="s">
        <v>250</v>
      </c>
      <c r="C61" s="734">
        <f>ROUND(C58*12,2)</f>
        <v>0</v>
      </c>
      <c r="D61" s="749"/>
      <c r="E61" s="749"/>
      <c r="F61" s="749"/>
    </row>
    <row r="62" spans="1:9" s="750" customFormat="1" ht="18.75" hidden="1" customHeight="1">
      <c r="A62" s="751"/>
      <c r="B62" s="751" t="s">
        <v>251</v>
      </c>
      <c r="C62" s="734">
        <f>ROUND(C59*12,2)</f>
        <v>0</v>
      </c>
      <c r="D62" s="749"/>
      <c r="E62" s="749"/>
      <c r="F62" s="749"/>
    </row>
    <row r="63" spans="1:9" s="750" customFormat="1" ht="21.75" hidden="1" customHeight="1">
      <c r="A63" s="751"/>
      <c r="B63" s="751" t="s">
        <v>252</v>
      </c>
      <c r="C63" s="753">
        <f>ROUND(C62+C61,2)</f>
        <v>0</v>
      </c>
      <c r="D63" s="749"/>
      <c r="E63" s="749"/>
      <c r="F63" s="749"/>
    </row>
    <row r="64" spans="1:9" s="750" customFormat="1" ht="15.75" hidden="1">
      <c r="A64" s="759"/>
      <c r="B64" s="760" t="s">
        <v>1289</v>
      </c>
      <c r="C64" s="753">
        <f>C63</f>
        <v>0</v>
      </c>
      <c r="D64" s="761"/>
      <c r="E64" s="761"/>
      <c r="F64" s="749"/>
    </row>
    <row r="65" spans="1:8" s="750" customFormat="1" ht="25.5" hidden="1" customHeight="1">
      <c r="A65" s="759"/>
      <c r="B65" s="760"/>
      <c r="C65" s="753"/>
      <c r="D65" s="761"/>
      <c r="E65" s="761"/>
      <c r="F65" s="749"/>
    </row>
    <row r="66" spans="1:8" s="732" customFormat="1" ht="16.5" customHeight="1">
      <c r="A66" s="727"/>
      <c r="B66" s="728" t="s">
        <v>1290</v>
      </c>
      <c r="C66" s="729" t="s">
        <v>1276</v>
      </c>
      <c r="D66" s="730"/>
      <c r="E66" s="730"/>
      <c r="F66" s="766"/>
      <c r="G66" s="736"/>
      <c r="H66" s="767"/>
    </row>
    <row r="67" spans="1:8" s="736" customFormat="1" ht="18" customHeight="1">
      <c r="A67" s="733"/>
      <c r="B67" s="726" t="s">
        <v>1277</v>
      </c>
      <c r="C67" s="734">
        <f>'[3]ТИНСКАЯ с 01.12.2017'!H31++'[3]ТИНСКАЯ с 01.12.2017'!H32+'[3]ТИНСКАЯ с 01.12.2017'!H33+'[3]ТИНСКАЯ с 01.12.2017'!H34+'[3]ТИНСКАЯ с 01.12.2017'!H48+'[3]ТИНСКАЯ с 01.12.2017'!H49+'[3]ТИНСКАЯ с 01.12.2017'!H50+'[3]ТИНСКАЯ с 01.12.2017'!H51+'[3]ТИНСКАЯ с 01.12.2017'!H52+'[3]ТИНСКАЯ с 01.12.2017'!H53+'[3]ТИНСКАЯ с 01.12.2017'!H54+'[3]ТИНСКАЯ с 01.12.2017'!H55+'[3]ТИНСКАЯ с 01.12.2017'!H56+'[3]ТИНСКАЯ с 01.12.2017'!H57+'[3]ТИНСКАЯ с 01.12.2017'!H58+'[3]ТИНСКАЯ с 01.12.2017'!H59+'[3]ТИНСКАЯ с 01.12.2017'!H60+'[3]ТИНСКАЯ с 01.12.2017'!H61+'[3]ТИНСКАЯ с 01.12.2017'!H62</f>
        <v>151284.10999999999</v>
      </c>
      <c r="D67" s="726"/>
      <c r="E67" s="726"/>
      <c r="F67" s="766"/>
      <c r="H67" s="768"/>
    </row>
    <row r="68" spans="1:8" s="736" customFormat="1" ht="31.5">
      <c r="A68" s="733"/>
      <c r="B68" s="726" t="s">
        <v>1278</v>
      </c>
      <c r="C68" s="734">
        <f>'[3]ТИНСКАЯ с 01.12.2017'!J31+'[3]ТИНСКАЯ с 01.12.2017'!K31+'[3]ТИНСКАЯ с 01.12.2017'!L31+'[3]ТИНСКАЯ с 01.12.2017'!J32+'[3]ТИНСКАЯ с 01.12.2017'!K32+'[3]ТИНСКАЯ с 01.12.2017'!L32+'[3]ТИНСКАЯ с 01.12.2017'!J33+'[3]ТИНСКАЯ с 01.12.2017'!K33+'[3]ТИНСКАЯ с 01.12.2017'!L33+'[3]ТИНСКАЯ с 01.12.2017'!I34+'[3]ТИНСКАЯ с 01.12.2017'!J34+'[3]ТИНСКАЯ с 01.12.2017'!K34+'[3]ТИНСКАЯ с 01.12.2017'!L34+'[3]ТИНСКАЯ с 01.12.2017'!J48+'[3]ТИНСКАЯ с 01.12.2017'!K48+'[3]ТИНСКАЯ с 01.12.2017'!L48+'[3]ТИНСКАЯ с 01.12.2017'!J49+'[3]ТИНСКАЯ с 01.12.2017'!K49+'[3]ТИНСКАЯ с 01.12.2017'!L49+'[3]ТИНСКАЯ с 01.12.2017'!J50+'[3]ТИНСКАЯ с 01.12.2017'!K50+'[3]ТИНСКАЯ с 01.12.2017'!L50+'[3]ТИНСКАЯ с 01.12.2017'!I51+'[3]ТИНСКАЯ с 01.12.2017'!J51+'[3]ТИНСКАЯ с 01.12.2017'!K51+'[3]ТИНСКАЯ с 01.12.2017'!L51+'[3]ТИНСКАЯ с 01.12.2017'!O51+'[3]ТИНСКАЯ с 01.12.2017'!J52+'[3]ТИНСКАЯ с 01.12.2017'!K52+'[3]ТИНСКАЯ с 01.12.2017'!L52+'[3]ТИНСКАЯ с 01.12.2017'!O52+'[3]ТИНСКАЯ с 01.12.2017'!J53+'[3]ТИНСКАЯ с 01.12.2017'!K53+'[3]ТИНСКАЯ с 01.12.2017'!L53+'[3]ТИНСКАЯ с 01.12.2017'!O53+'[3]ТИНСКАЯ с 01.12.2017'!J54+'[3]ТИНСКАЯ с 01.12.2017'!K54+'[3]ТИНСКАЯ с 01.12.2017'!L54+'[3]ТИНСКАЯ с 01.12.2017'!J55+'[3]ТИНСКАЯ с 01.12.2017'!K55+'[3]ТИНСКАЯ с 01.12.2017'!L55+'[3]ТИНСКАЯ с 01.12.2017'!J56+'[3]ТИНСКАЯ с 01.12.2017'!K56+'[3]ТИНСКАЯ с 01.12.2017'!L56+'[3]ТИНСКАЯ с 01.12.2017'!O56+'[3]ТИНСКАЯ с 01.12.2017'!J57+'[3]ТИНСКАЯ с 01.12.2017'!K57+'[3]ТИНСКАЯ с 01.12.2017'!L57+'[3]ТИНСКАЯ с 01.12.2017'!J58+'[3]ТИНСКАЯ с 01.12.2017'!K58+'[3]ТИНСКАЯ с 01.12.2017'!L58+'[3]ТИНСКАЯ с 01.12.2017'!O58+'[3]ТИНСКАЯ с 01.12.2017'!J59+'[3]ТИНСКАЯ с 01.12.2017'!K59+'[3]ТИНСКАЯ с 01.12.2017'!L59+'[3]ТИНСКАЯ с 01.12.2017'!J60+'[3]ТИНСКАЯ с 01.12.2017'!K60+'[3]ТИНСКАЯ с 01.12.2017'!L60+'[3]ТИНСКАЯ с 01.12.2017'!J61+'[3]ТИНСКАЯ с 01.12.2017'!K61+'[3]ТИНСКАЯ с 01.12.2017'!L61+'[3]ТИНСКАЯ с 01.12.2017'!J62+'[3]ТИНСКАЯ с 01.12.2017'!K62+'[3]ТИНСКАЯ с 01.12.2017'!L62</f>
        <v>102665.45600000001</v>
      </c>
      <c r="D68" s="737"/>
      <c r="E68" s="737"/>
      <c r="F68" s="735"/>
      <c r="H68" s="769"/>
    </row>
    <row r="69" spans="1:8" s="740" customFormat="1" ht="51.75" customHeight="1">
      <c r="A69" s="738"/>
      <c r="B69" s="739" t="s">
        <v>238</v>
      </c>
      <c r="C69" s="734">
        <f>ROUND((C67+C68)*60%,2)+C67+C68</f>
        <v>406319.30599999998</v>
      </c>
      <c r="D69" s="734"/>
      <c r="E69" s="734"/>
      <c r="F69" s="770"/>
      <c r="H69" s="769"/>
    </row>
    <row r="70" spans="1:8" s="740" customFormat="1" ht="23.25" customHeight="1">
      <c r="A70" s="741"/>
      <c r="B70" s="742" t="s">
        <v>1280</v>
      </c>
      <c r="C70" s="734">
        <f>C69</f>
        <v>406319.30599999998</v>
      </c>
      <c r="D70" s="743"/>
      <c r="E70" s="743"/>
      <c r="F70" s="771"/>
      <c r="H70" s="769"/>
    </row>
    <row r="71" spans="1:8" s="740" customFormat="1" ht="15.75" customHeight="1">
      <c r="A71" s="744"/>
      <c r="B71" s="744" t="s">
        <v>1281</v>
      </c>
      <c r="C71" s="745">
        <f>'[3]ТИНСКАЯ с 01.12.2017'!P121-0.01</f>
        <v>334718.27915479871</v>
      </c>
      <c r="D71" s="746"/>
      <c r="E71" s="746"/>
      <c r="F71" s="771"/>
      <c r="H71" s="772"/>
    </row>
    <row r="72" spans="1:8" s="750" customFormat="1" ht="18.75" customHeight="1">
      <c r="A72" s="747"/>
      <c r="B72" s="748" t="s">
        <v>1282</v>
      </c>
      <c r="C72" s="734">
        <f>ROUND(C70+C71,2)</f>
        <v>741037.59</v>
      </c>
      <c r="D72" s="749"/>
      <c r="E72" s="749"/>
      <c r="F72" s="771"/>
      <c r="G72" s="740"/>
      <c r="H72" s="773"/>
    </row>
    <row r="73" spans="1:8" s="750" customFormat="1" ht="21" customHeight="1">
      <c r="A73" s="751"/>
      <c r="B73" s="751" t="s">
        <v>239</v>
      </c>
      <c r="C73" s="734">
        <f>ROUND(442923.87*8,2)</f>
        <v>3543390.96</v>
      </c>
      <c r="D73" s="749"/>
      <c r="E73" s="749"/>
      <c r="F73" s="749"/>
    </row>
    <row r="74" spans="1:8" s="750" customFormat="1" ht="18.75" customHeight="1">
      <c r="A74" s="751"/>
      <c r="B74" s="751" t="s">
        <v>240</v>
      </c>
      <c r="C74" s="734">
        <f>ROUND(126076.58*8,2)+0.03</f>
        <v>1008612.67</v>
      </c>
      <c r="D74" s="749"/>
      <c r="E74" s="749"/>
      <c r="F74" s="749"/>
    </row>
    <row r="75" spans="1:8" s="750" customFormat="1" ht="21.75" customHeight="1">
      <c r="A75" s="751"/>
      <c r="B75" s="752" t="s">
        <v>241</v>
      </c>
      <c r="C75" s="753">
        <f>ROUND(C74+C73,2)</f>
        <v>4552003.63</v>
      </c>
      <c r="D75" s="749"/>
      <c r="E75" s="749"/>
      <c r="F75" s="749"/>
    </row>
    <row r="76" spans="1:8" s="750" customFormat="1" ht="21" customHeight="1">
      <c r="A76" s="751"/>
      <c r="B76" s="751" t="s">
        <v>260</v>
      </c>
      <c r="C76" s="734">
        <f>ROUND(1720486.12/4*2,2)</f>
        <v>860243.06</v>
      </c>
      <c r="D76" s="749"/>
      <c r="E76" s="749"/>
      <c r="F76" s="749"/>
    </row>
    <row r="77" spans="1:8" s="750" customFormat="1" ht="18.75" customHeight="1">
      <c r="A77" s="751"/>
      <c r="B77" s="751" t="s">
        <v>261</v>
      </c>
      <c r="C77" s="734">
        <f>ROUND(555515.64/4*2,2)-0.02</f>
        <v>277757.8</v>
      </c>
      <c r="D77" s="749"/>
      <c r="E77" s="749"/>
      <c r="F77" s="749"/>
    </row>
    <row r="78" spans="1:8" s="750" customFormat="1" ht="21.75" customHeight="1">
      <c r="A78" s="751"/>
      <c r="B78" s="752" t="s">
        <v>262</v>
      </c>
      <c r="C78" s="753">
        <f>ROUND(C77+C76,2)</f>
        <v>1138000.8600000001</v>
      </c>
      <c r="D78" s="749"/>
      <c r="E78" s="749"/>
      <c r="F78" s="749"/>
    </row>
    <row r="79" spans="1:8" s="750" customFormat="1" ht="39.75" hidden="1" customHeight="1">
      <c r="A79" s="751"/>
      <c r="B79" s="758" t="s">
        <v>263</v>
      </c>
      <c r="C79" s="734"/>
      <c r="D79" s="749"/>
      <c r="E79" s="749"/>
      <c r="F79" s="749"/>
    </row>
    <row r="80" spans="1:8" s="750" customFormat="1" ht="21" customHeight="1">
      <c r="A80" s="751"/>
      <c r="B80" s="751" t="s">
        <v>264</v>
      </c>
      <c r="C80" s="734">
        <f>ROUND(812638.61/2,2)</f>
        <v>406319.31</v>
      </c>
      <c r="D80" s="749"/>
      <c r="E80" s="749"/>
      <c r="F80" s="749"/>
    </row>
    <row r="81" spans="1:9" s="750" customFormat="1" ht="18.75" customHeight="1">
      <c r="A81" s="751"/>
      <c r="B81" s="751" t="s">
        <v>265</v>
      </c>
      <c r="C81" s="734">
        <f>ROUND(325362.29/2,2)</f>
        <v>162681.15</v>
      </c>
      <c r="D81" s="749"/>
      <c r="E81" s="749"/>
      <c r="F81" s="749"/>
    </row>
    <row r="82" spans="1:9" s="750" customFormat="1" ht="21.75" customHeight="1">
      <c r="A82" s="751"/>
      <c r="B82" s="752" t="s">
        <v>266</v>
      </c>
      <c r="C82" s="753">
        <f>ROUND(C81+C80,2)</f>
        <v>569000.46</v>
      </c>
      <c r="D82" s="749"/>
      <c r="E82" s="749"/>
      <c r="F82" s="749"/>
    </row>
    <row r="83" spans="1:9" s="750" customFormat="1" ht="21" customHeight="1">
      <c r="A83" s="751"/>
      <c r="B83" s="751" t="s">
        <v>245</v>
      </c>
      <c r="C83" s="734">
        <f>ROUND(C70*1,2)</f>
        <v>406319.31</v>
      </c>
      <c r="D83" s="749"/>
      <c r="E83" s="749"/>
      <c r="F83" s="754">
        <v>172037.15</v>
      </c>
      <c r="G83" s="755">
        <v>211</v>
      </c>
      <c r="H83" s="756" t="s">
        <v>267</v>
      </c>
      <c r="I83" s="774"/>
    </row>
    <row r="84" spans="1:9" s="750" customFormat="1" ht="18.75" customHeight="1">
      <c r="A84" s="751"/>
      <c r="B84" s="751" t="s">
        <v>247</v>
      </c>
      <c r="C84" s="734">
        <f>ROUND(C71*1,2)</f>
        <v>334718.28000000003</v>
      </c>
      <c r="D84" s="749"/>
      <c r="E84" s="749"/>
      <c r="F84" s="757">
        <v>51955.22</v>
      </c>
      <c r="G84" s="755">
        <v>213</v>
      </c>
      <c r="H84" s="741"/>
      <c r="I84" s="741"/>
    </row>
    <row r="85" spans="1:9" s="750" customFormat="1" ht="21.75" customHeight="1">
      <c r="A85" s="751"/>
      <c r="B85" s="752" t="s">
        <v>248</v>
      </c>
      <c r="C85" s="753">
        <f>ROUND(C84+C83,2)</f>
        <v>741037.59</v>
      </c>
      <c r="D85" s="749"/>
      <c r="E85" s="749">
        <v>6828005.3899999997</v>
      </c>
      <c r="F85" s="757">
        <f>SUM(F83:F84)</f>
        <v>223992.37</v>
      </c>
      <c r="G85" s="741"/>
      <c r="H85" s="775"/>
      <c r="I85" s="775"/>
    </row>
    <row r="86" spans="1:9" s="750" customFormat="1" ht="15.75">
      <c r="A86" s="759"/>
      <c r="B86" s="760" t="s">
        <v>1291</v>
      </c>
      <c r="C86" s="753">
        <f>C75+C79+C78+C82+C85</f>
        <v>7000042.54</v>
      </c>
      <c r="D86" s="761"/>
      <c r="E86" s="761">
        <f>E85+F83</f>
        <v>7000042.54</v>
      </c>
      <c r="F86" s="749"/>
    </row>
    <row r="87" spans="1:9" s="750" customFormat="1" ht="22.5" customHeight="1">
      <c r="A87" s="759"/>
      <c r="B87" s="786" t="s">
        <v>268</v>
      </c>
      <c r="C87" s="753">
        <f>C22+C34+C52+C86</f>
        <v>15487832.239999998</v>
      </c>
      <c r="D87" s="761"/>
      <c r="E87" s="761">
        <v>15271313.27</v>
      </c>
      <c r="F87" s="750">
        <v>15773.11</v>
      </c>
      <c r="G87" s="750" t="s">
        <v>259</v>
      </c>
    </row>
    <row r="88" spans="1:9" s="780" customFormat="1" ht="19.5" customHeight="1">
      <c r="A88" s="776"/>
      <c r="B88" s="777"/>
      <c r="C88" s="778">
        <v>89870788.75</v>
      </c>
      <c r="D88" s="779"/>
      <c r="E88" s="779">
        <f>E87+F87+F88+F89</f>
        <v>15487832.24</v>
      </c>
      <c r="F88" s="754">
        <v>172037.15</v>
      </c>
      <c r="G88" s="755">
        <v>211</v>
      </c>
      <c r="H88" s="756" t="s">
        <v>267</v>
      </c>
      <c r="I88" s="774"/>
    </row>
    <row r="89" spans="1:9" s="736" customFormat="1" ht="18.75" customHeight="1">
      <c r="A89" s="781"/>
      <c r="B89" s="669" t="s">
        <v>1077</v>
      </c>
      <c r="C89" s="787"/>
      <c r="D89" s="792" t="s">
        <v>1040</v>
      </c>
      <c r="E89" s="788"/>
      <c r="F89" s="754">
        <f>F49+F18</f>
        <v>28708.71</v>
      </c>
      <c r="G89" s="755">
        <v>211</v>
      </c>
      <c r="H89" s="756" t="s">
        <v>246</v>
      </c>
      <c r="I89" s="741"/>
    </row>
    <row r="90" spans="1:9" s="736" customFormat="1" ht="18.75" customHeight="1">
      <c r="A90" s="781"/>
      <c r="B90" s="784"/>
      <c r="C90" s="784" t="s">
        <v>1078</v>
      </c>
      <c r="D90" s="784" t="s">
        <v>1079</v>
      </c>
      <c r="E90" s="789"/>
      <c r="F90" s="782"/>
    </row>
    <row r="91" spans="1:9" s="736" customFormat="1" ht="18.75" customHeight="1">
      <c r="A91" s="781"/>
      <c r="B91" s="784"/>
      <c r="C91" s="784"/>
      <c r="D91" s="784"/>
      <c r="E91" s="789"/>
      <c r="F91" s="782"/>
    </row>
    <row r="92" spans="1:9" s="736" customFormat="1" ht="18.75" customHeight="1">
      <c r="A92" s="781"/>
      <c r="B92" s="700" t="s">
        <v>1076</v>
      </c>
      <c r="C92" s="790"/>
      <c r="D92" s="792" t="s">
        <v>1245</v>
      </c>
      <c r="E92" s="789"/>
      <c r="F92" s="782"/>
    </row>
    <row r="93" spans="1:9" s="736" customFormat="1" ht="15.75">
      <c r="A93" s="738"/>
      <c r="B93" s="784"/>
      <c r="C93" s="784" t="s">
        <v>1078</v>
      </c>
      <c r="D93" s="784" t="s">
        <v>1079</v>
      </c>
      <c r="E93" s="789"/>
      <c r="F93" s="738"/>
    </row>
    <row r="95" spans="1:9" s="736" customFormat="1">
      <c r="B95" s="783"/>
    </row>
  </sheetData>
  <mergeCells count="2">
    <mergeCell ref="A2:C2"/>
    <mergeCell ref="A3:C3"/>
  </mergeCells>
  <phoneticPr fontId="116" type="noConversion"/>
  <pageMargins left="0.39370078740157483" right="0.19685039370078741" top="0.39370078740157483" bottom="0.19685039370078741" header="0.31496062992125984" footer="0.19685039370078741"/>
  <pageSetup paperSize="9" scale="90" orientation="portrait" verticalDpi="300" r:id="rId1"/>
</worksheet>
</file>

<file path=xl/worksheets/sheet15.xml><?xml version="1.0" encoding="utf-8"?>
<worksheet xmlns="http://schemas.openxmlformats.org/spreadsheetml/2006/main" xmlns:r="http://schemas.openxmlformats.org/officeDocument/2006/relationships">
  <sheetPr>
    <tabColor rgb="FF3366FF"/>
  </sheetPr>
  <dimension ref="A1:Y195"/>
  <sheetViews>
    <sheetView view="pageBreakPreview" zoomScale="95" zoomScaleNormal="106" zoomScaleSheetLayoutView="95" workbookViewId="0">
      <selection activeCell="D12" sqref="D12"/>
    </sheetView>
  </sheetViews>
  <sheetFormatPr defaultRowHeight="15.75"/>
  <cols>
    <col min="1" max="1" width="4" style="738" customWidth="1"/>
    <col min="2" max="2" width="10.42578125" style="738" customWidth="1"/>
    <col min="3" max="3" width="3.7109375" style="738" customWidth="1"/>
    <col min="4" max="4" width="25.28515625" style="751" customWidth="1"/>
    <col min="5" max="5" width="7.5703125" style="738" customWidth="1"/>
    <col min="6" max="6" width="11.5703125" style="738" customWidth="1"/>
    <col min="7" max="8" width="13.42578125" style="738" customWidth="1"/>
    <col min="9" max="9" width="10.7109375" style="738" customWidth="1"/>
    <col min="10" max="12" width="12.85546875" style="738" customWidth="1"/>
    <col min="13" max="13" width="12.28515625" style="738" customWidth="1"/>
    <col min="14" max="14" width="12.28515625" style="738" hidden="1" customWidth="1"/>
    <col min="15" max="15" width="10.5703125" style="738" customWidth="1"/>
    <col min="16" max="16" width="22.85546875" style="738" customWidth="1"/>
    <col min="17" max="17" width="13.28515625" style="738" customWidth="1"/>
    <col min="18" max="18" width="17.5703125" style="741" customWidth="1"/>
    <col min="19" max="19" width="19.140625" style="813" customWidth="1"/>
    <col min="20" max="20" width="15.28515625" style="741" customWidth="1"/>
    <col min="21" max="21" width="12.7109375" style="741" customWidth="1"/>
    <col min="22" max="22" width="15" style="741" customWidth="1"/>
    <col min="23" max="23" width="12.85546875" style="741" customWidth="1"/>
    <col min="24" max="24" width="12" style="741" customWidth="1"/>
    <col min="25" max="25" width="15.28515625" style="741" customWidth="1"/>
    <col min="26" max="16384" width="9.140625" style="741"/>
  </cols>
  <sheetData>
    <row r="1" spans="1:19" s="1" customFormat="1">
      <c r="A1" s="234"/>
      <c r="B1" s="234"/>
      <c r="C1" s="234"/>
      <c r="D1" s="234"/>
      <c r="E1" s="234"/>
      <c r="F1" s="234"/>
      <c r="G1" s="234"/>
      <c r="H1" s="234"/>
      <c r="I1" s="234"/>
      <c r="J1" s="234"/>
      <c r="K1" s="234"/>
      <c r="L1" s="234"/>
      <c r="P1" s="1681" t="s">
        <v>1080</v>
      </c>
      <c r="Q1" s="1681"/>
    </row>
    <row r="2" spans="1:19" s="1" customFormat="1">
      <c r="A2" s="1680" t="s">
        <v>1375</v>
      </c>
      <c r="B2" s="1680"/>
      <c r="C2" s="1680"/>
      <c r="D2" s="1680"/>
      <c r="E2" s="1680"/>
      <c r="F2" s="1680"/>
      <c r="G2" s="1680"/>
      <c r="H2" s="1680"/>
      <c r="I2" s="1680"/>
      <c r="J2" s="1680"/>
      <c r="K2" s="1680"/>
      <c r="L2" s="1680"/>
      <c r="M2" s="1680"/>
      <c r="N2" s="1680"/>
    </row>
    <row r="3" spans="1:19" s="1" customFormat="1">
      <c r="A3" s="234"/>
      <c r="B3" s="234"/>
      <c r="C3" s="234"/>
      <c r="D3" s="234"/>
      <c r="E3" s="234"/>
      <c r="F3" s="234"/>
      <c r="G3" s="234"/>
      <c r="H3" s="234"/>
      <c r="I3" s="234"/>
      <c r="J3" s="234"/>
      <c r="K3" s="234"/>
      <c r="L3" s="234"/>
      <c r="M3" s="234"/>
      <c r="N3" s="234"/>
    </row>
    <row r="4" spans="1:19" s="1" customFormat="1">
      <c r="A4" s="669" t="s">
        <v>780</v>
      </c>
      <c r="B4" s="669"/>
      <c r="C4" s="1414"/>
      <c r="D4" s="1414"/>
      <c r="E4" s="235"/>
      <c r="F4" s="235"/>
      <c r="G4" s="235"/>
      <c r="H4" s="235"/>
      <c r="I4" s="235"/>
      <c r="J4" s="235"/>
      <c r="K4" s="235"/>
      <c r="L4" s="235"/>
    </row>
    <row r="5" spans="1:19" s="1" customFormat="1">
      <c r="A5" s="234"/>
      <c r="B5" s="234"/>
      <c r="C5" s="235"/>
      <c r="D5" s="235"/>
      <c r="E5" s="235"/>
      <c r="F5" s="235"/>
      <c r="G5" s="235"/>
      <c r="H5" s="235"/>
      <c r="I5" s="235"/>
      <c r="J5" s="235"/>
      <c r="K5" s="235"/>
      <c r="L5" s="235"/>
      <c r="M5" s="235"/>
      <c r="N5" s="235"/>
    </row>
    <row r="6" spans="1:19" s="1" customFormat="1">
      <c r="A6" s="234" t="s">
        <v>1781</v>
      </c>
      <c r="B6" s="234"/>
      <c r="C6" s="234"/>
      <c r="D6" s="234"/>
      <c r="E6" s="234"/>
      <c r="F6" s="234"/>
      <c r="G6" s="234"/>
      <c r="H6" s="234"/>
      <c r="I6" s="234"/>
      <c r="J6" s="234"/>
      <c r="K6" s="234"/>
      <c r="L6" s="234"/>
      <c r="M6" s="234"/>
      <c r="N6" s="234"/>
    </row>
    <row r="7" spans="1:19" s="1" customFormat="1">
      <c r="A7" s="234"/>
      <c r="B7" s="234"/>
      <c r="C7" s="234"/>
      <c r="D7" s="234"/>
      <c r="E7" s="234"/>
      <c r="F7" s="234"/>
      <c r="G7" s="234"/>
      <c r="H7" s="234"/>
      <c r="I7" s="234"/>
      <c r="J7" s="234"/>
      <c r="K7" s="234"/>
      <c r="L7" s="234"/>
      <c r="M7" s="234"/>
      <c r="N7" s="234"/>
    </row>
    <row r="8" spans="1:19" s="1" customFormat="1">
      <c r="A8" s="234"/>
      <c r="B8" s="234"/>
      <c r="C8" s="234"/>
      <c r="D8" s="234"/>
      <c r="E8" s="234"/>
      <c r="F8" s="234"/>
      <c r="G8" s="234"/>
      <c r="H8" s="234"/>
      <c r="I8" s="234"/>
      <c r="J8" s="234"/>
      <c r="K8" s="234"/>
      <c r="L8" s="234"/>
      <c r="M8" s="234"/>
      <c r="N8" s="209"/>
    </row>
    <row r="9" spans="1:19" s="1" customFormat="1">
      <c r="A9" s="234"/>
      <c r="B9" s="234"/>
      <c r="C9" s="234"/>
      <c r="D9" s="234"/>
      <c r="E9" s="234"/>
      <c r="F9" s="234"/>
      <c r="G9" s="234"/>
      <c r="H9" s="234"/>
      <c r="I9" s="234"/>
      <c r="J9" s="234"/>
      <c r="K9" s="234"/>
      <c r="L9" s="234"/>
      <c r="M9" s="234"/>
      <c r="N9" s="209"/>
    </row>
    <row r="10" spans="1:19" s="1" customFormat="1">
      <c r="A10" s="1680" t="s">
        <v>1273</v>
      </c>
      <c r="B10" s="1680"/>
      <c r="C10" s="1680"/>
      <c r="D10" s="1680"/>
      <c r="E10" s="1680"/>
      <c r="F10" s="1680"/>
      <c r="G10" s="1680"/>
      <c r="H10" s="1680"/>
      <c r="I10" s="1680"/>
      <c r="J10" s="1680"/>
      <c r="K10" s="1680"/>
      <c r="L10" s="1680"/>
      <c r="M10" s="1680"/>
      <c r="N10" s="1680"/>
    </row>
    <row r="11" spans="1:19" ht="12.75" customHeight="1">
      <c r="I11" s="1725"/>
      <c r="J11" s="1725"/>
      <c r="K11" s="479"/>
      <c r="L11" s="479"/>
      <c r="M11" s="479"/>
      <c r="N11" s="479"/>
      <c r="O11" s="1726" t="s">
        <v>1068</v>
      </c>
      <c r="P11" s="1726"/>
      <c r="Q11" s="480"/>
    </row>
    <row r="12" spans="1:19" ht="11.25" customHeight="1">
      <c r="I12" s="480"/>
      <c r="J12" s="480"/>
      <c r="K12" s="480"/>
      <c r="L12" s="480"/>
      <c r="M12" s="480"/>
      <c r="N12" s="480"/>
      <c r="O12" s="480"/>
      <c r="P12" s="480" t="s">
        <v>1069</v>
      </c>
      <c r="Q12" s="480"/>
    </row>
    <row r="13" spans="1:19" ht="10.5" customHeight="1">
      <c r="I13" s="831"/>
      <c r="J13" s="831"/>
      <c r="K13" s="831"/>
      <c r="L13" s="831"/>
      <c r="M13" s="831"/>
      <c r="N13" s="831"/>
      <c r="O13" s="831"/>
      <c r="P13" s="480" t="s">
        <v>304</v>
      </c>
      <c r="Q13" s="480"/>
    </row>
    <row r="14" spans="1:19" ht="11.25" customHeight="1">
      <c r="I14" s="831"/>
      <c r="J14" s="831"/>
      <c r="K14" s="831"/>
      <c r="L14" s="831"/>
      <c r="M14" s="831"/>
      <c r="N14" s="831"/>
      <c r="O14" s="831"/>
      <c r="P14" s="480" t="s">
        <v>1070</v>
      </c>
      <c r="Q14" s="480"/>
    </row>
    <row r="15" spans="1:19" ht="12.75" customHeight="1">
      <c r="I15" s="831"/>
      <c r="J15" s="831"/>
      <c r="K15" s="831"/>
      <c r="L15" s="831"/>
      <c r="M15" s="831"/>
      <c r="N15" s="831"/>
      <c r="O15" s="831"/>
      <c r="P15" s="480" t="s">
        <v>1071</v>
      </c>
      <c r="Q15" s="480"/>
    </row>
    <row r="16" spans="1:19" s="835" customFormat="1" ht="15">
      <c r="A16" s="832" t="s">
        <v>305</v>
      </c>
      <c r="B16" s="832"/>
      <c r="C16" s="832"/>
      <c r="D16" s="833"/>
      <c r="E16" s="833"/>
      <c r="F16" s="833"/>
      <c r="G16" s="834"/>
      <c r="H16" s="834"/>
      <c r="N16" s="835" t="s">
        <v>170</v>
      </c>
      <c r="O16" s="834"/>
      <c r="S16" s="814"/>
    </row>
    <row r="17" spans="1:19" s="835" customFormat="1" ht="19.5" customHeight="1">
      <c r="A17" s="836" t="s">
        <v>306</v>
      </c>
      <c r="B17" s="836"/>
      <c r="C17" s="836"/>
      <c r="D17" s="836"/>
      <c r="E17" s="836"/>
      <c r="F17" s="836"/>
      <c r="G17" s="834"/>
      <c r="H17" s="834"/>
      <c r="J17" s="837"/>
      <c r="K17" s="837"/>
      <c r="L17" s="837"/>
      <c r="M17" s="837"/>
      <c r="N17" s="1724" t="s">
        <v>307</v>
      </c>
      <c r="O17" s="1724"/>
      <c r="P17" s="1724"/>
      <c r="Q17" s="481"/>
      <c r="S17" s="814"/>
    </row>
    <row r="18" spans="1:19" s="835" customFormat="1" ht="15" customHeight="1">
      <c r="A18" s="832" t="s">
        <v>308</v>
      </c>
      <c r="B18" s="836"/>
      <c r="C18" s="836"/>
      <c r="D18" s="836"/>
      <c r="E18" s="836"/>
      <c r="F18" s="836"/>
      <c r="G18" s="834"/>
      <c r="H18" s="834"/>
      <c r="I18" s="838"/>
      <c r="J18" s="837"/>
      <c r="K18" s="837"/>
      <c r="L18" s="837"/>
      <c r="M18" s="837"/>
      <c r="N18" s="1724" t="s">
        <v>309</v>
      </c>
      <c r="O18" s="1724"/>
      <c r="P18" s="1724"/>
      <c r="Q18" s="481"/>
      <c r="S18" s="814"/>
    </row>
    <row r="19" spans="1:19" s="835" customFormat="1" ht="16.5" customHeight="1">
      <c r="A19" s="836" t="s">
        <v>310</v>
      </c>
      <c r="B19" s="836"/>
      <c r="C19" s="836"/>
      <c r="D19" s="836"/>
      <c r="E19" s="836"/>
      <c r="F19" s="836"/>
      <c r="I19" s="244"/>
      <c r="J19" s="244"/>
      <c r="K19" s="244"/>
      <c r="L19" s="244"/>
      <c r="M19" s="244"/>
      <c r="N19" s="839"/>
      <c r="O19" s="839"/>
      <c r="P19" s="244" t="s">
        <v>1040</v>
      </c>
      <c r="Q19" s="244"/>
      <c r="S19" s="814"/>
    </row>
    <row r="20" spans="1:19" s="840" customFormat="1" ht="15" customHeight="1">
      <c r="A20" s="1742" t="s">
        <v>311</v>
      </c>
      <c r="B20" s="1742"/>
      <c r="C20" s="1742"/>
      <c r="D20" s="1742"/>
      <c r="E20" s="836"/>
      <c r="F20" s="836"/>
      <c r="G20" s="834"/>
      <c r="H20" s="834"/>
      <c r="I20" s="244"/>
      <c r="J20" s="834"/>
      <c r="K20" s="834"/>
      <c r="L20" s="834"/>
      <c r="M20" s="834"/>
      <c r="N20" s="834" t="s">
        <v>171</v>
      </c>
      <c r="O20" s="835"/>
      <c r="P20" s="835"/>
      <c r="Q20" s="835"/>
      <c r="S20" s="815"/>
    </row>
    <row r="21" spans="1:19" s="840" customFormat="1" ht="15" customHeight="1">
      <c r="A21" s="1742"/>
      <c r="B21" s="1742"/>
      <c r="C21" s="1742"/>
      <c r="D21" s="1742"/>
      <c r="E21" s="836"/>
      <c r="F21" s="836"/>
      <c r="G21" s="834"/>
      <c r="H21" s="834"/>
      <c r="I21" s="244"/>
      <c r="J21" s="834"/>
      <c r="K21" s="834"/>
      <c r="L21" s="834"/>
      <c r="M21" s="834"/>
      <c r="N21" s="834"/>
      <c r="O21" s="835"/>
      <c r="P21" s="835"/>
      <c r="Q21" s="835"/>
      <c r="S21" s="815"/>
    </row>
    <row r="22" spans="1:19" s="840" customFormat="1" ht="18" hidden="1" customHeight="1">
      <c r="A22" s="836" t="s">
        <v>312</v>
      </c>
      <c r="B22" s="836"/>
      <c r="C22" s="836"/>
      <c r="D22" s="836"/>
      <c r="E22" s="836"/>
      <c r="F22" s="836"/>
      <c r="G22" s="834"/>
      <c r="H22" s="834"/>
      <c r="I22" s="835"/>
      <c r="J22" s="841"/>
      <c r="K22" s="841"/>
      <c r="L22" s="841"/>
      <c r="M22" s="841"/>
      <c r="N22" s="841"/>
      <c r="O22" s="1741"/>
      <c r="P22" s="1741"/>
      <c r="Q22" s="244"/>
      <c r="S22" s="815"/>
    </row>
    <row r="23" spans="1:19" s="840" customFormat="1" ht="18.75" hidden="1" customHeight="1">
      <c r="A23" s="1743" t="s">
        <v>313</v>
      </c>
      <c r="B23" s="1743"/>
      <c r="C23" s="1743"/>
      <c r="D23" s="1743"/>
      <c r="E23" s="1743"/>
      <c r="F23" s="842"/>
      <c r="G23" s="834"/>
      <c r="H23" s="834"/>
      <c r="I23" s="835"/>
      <c r="J23" s="244"/>
      <c r="K23" s="244"/>
      <c r="L23" s="244"/>
      <c r="M23" s="244"/>
      <c r="N23" s="244"/>
      <c r="O23" s="838"/>
      <c r="P23" s="838"/>
      <c r="Q23" s="838"/>
      <c r="S23" s="815"/>
    </row>
    <row r="24" spans="1:19" s="835" customFormat="1" ht="16.5" hidden="1" customHeight="1">
      <c r="A24" s="836" t="s">
        <v>314</v>
      </c>
      <c r="B24" s="836"/>
      <c r="C24" s="836"/>
      <c r="D24" s="836"/>
      <c r="E24" s="836"/>
      <c r="F24" s="832"/>
      <c r="G24" s="834"/>
      <c r="H24" s="834"/>
      <c r="I24" s="834"/>
      <c r="J24" s="834"/>
      <c r="K24" s="834"/>
      <c r="L24" s="834"/>
      <c r="M24" s="834"/>
      <c r="N24" s="834"/>
      <c r="O24" s="838"/>
      <c r="P24" s="838"/>
      <c r="Q24" s="838"/>
      <c r="S24" s="814"/>
    </row>
    <row r="25" spans="1:19" s="835" customFormat="1" ht="14.25" hidden="1" customHeight="1">
      <c r="A25" s="1744" t="s">
        <v>315</v>
      </c>
      <c r="B25" s="1744"/>
      <c r="C25" s="1744"/>
      <c r="D25" s="1744"/>
      <c r="E25" s="1744"/>
      <c r="F25" s="1744"/>
      <c r="G25" s="834"/>
      <c r="H25" s="834"/>
      <c r="I25" s="834"/>
      <c r="J25" s="834"/>
      <c r="K25" s="834"/>
      <c r="L25" s="834"/>
      <c r="M25" s="834"/>
      <c r="N25" s="834"/>
      <c r="O25" s="838"/>
      <c r="P25" s="838"/>
      <c r="Q25" s="838"/>
      <c r="S25" s="814"/>
    </row>
    <row r="26" spans="1:19" s="835" customFormat="1" ht="18" hidden="1" customHeight="1">
      <c r="A26" s="1732" t="s">
        <v>316</v>
      </c>
      <c r="B26" s="1732"/>
      <c r="C26" s="1732"/>
      <c r="D26" s="1732"/>
      <c r="E26" s="836"/>
      <c r="F26" s="836"/>
      <c r="G26" s="834"/>
      <c r="H26" s="834"/>
      <c r="I26" s="834"/>
      <c r="J26" s="244"/>
      <c r="K26" s="244"/>
      <c r="L26" s="244"/>
      <c r="M26" s="244"/>
      <c r="N26" s="244"/>
      <c r="O26" s="841"/>
      <c r="P26" s="838"/>
      <c r="Q26" s="838"/>
      <c r="S26" s="814"/>
    </row>
    <row r="27" spans="1:19" s="847" customFormat="1" ht="15.75" customHeight="1">
      <c r="A27" s="1732"/>
      <c r="B27" s="1732"/>
      <c r="C27" s="1732"/>
      <c r="D27" s="1732"/>
      <c r="E27" s="836"/>
      <c r="F27" s="833"/>
      <c r="G27" s="834"/>
      <c r="H27" s="834"/>
      <c r="I27" s="843"/>
      <c r="J27" s="844"/>
      <c r="K27" s="844"/>
      <c r="L27" s="844"/>
      <c r="M27" s="844"/>
      <c r="N27" s="844"/>
      <c r="O27" s="844"/>
      <c r="P27" s="845" t="s">
        <v>172</v>
      </c>
      <c r="Q27" s="846"/>
      <c r="S27" s="816"/>
    </row>
    <row r="28" spans="1:19" s="847" customFormat="1" ht="15.75" customHeight="1">
      <c r="A28" s="834"/>
      <c r="B28" s="834"/>
      <c r="C28" s="834"/>
      <c r="D28" s="834"/>
      <c r="E28" s="835"/>
      <c r="F28" s="838"/>
      <c r="G28" s="848"/>
      <c r="H28" s="848"/>
      <c r="I28" s="478"/>
      <c r="J28" s="1738" t="s">
        <v>1853</v>
      </c>
      <c r="K28" s="1738"/>
      <c r="L28" s="1738"/>
      <c r="M28" s="1738"/>
      <c r="N28" s="1738"/>
      <c r="O28" s="1739"/>
      <c r="P28" s="849" t="s">
        <v>317</v>
      </c>
      <c r="Q28" s="850"/>
      <c r="S28" s="816"/>
    </row>
    <row r="29" spans="1:19" s="847" customFormat="1" ht="37.5" customHeight="1">
      <c r="A29" s="1740" t="s">
        <v>318</v>
      </c>
      <c r="B29" s="1740"/>
      <c r="C29" s="1740"/>
      <c r="D29" s="1740"/>
      <c r="E29" s="1740"/>
      <c r="F29" s="1740"/>
      <c r="G29" s="1740"/>
      <c r="H29" s="1740"/>
      <c r="I29" s="1740"/>
      <c r="J29" s="1740"/>
      <c r="K29" s="1740"/>
      <c r="L29" s="1740"/>
      <c r="M29" s="1740"/>
      <c r="N29" s="1740"/>
      <c r="O29" s="851" t="s">
        <v>1858</v>
      </c>
      <c r="P29" s="845">
        <v>50323412</v>
      </c>
      <c r="Q29" s="846"/>
      <c r="S29" s="816"/>
    </row>
    <row r="30" spans="1:19" s="847" customFormat="1" ht="3.75" customHeight="1">
      <c r="A30" s="1740"/>
      <c r="B30" s="1740"/>
      <c r="C30" s="1740"/>
      <c r="D30" s="1740"/>
      <c r="E30" s="1740"/>
      <c r="F30" s="1740"/>
      <c r="G30" s="1740"/>
      <c r="H30" s="1740"/>
      <c r="I30" s="1740"/>
      <c r="J30" s="1740"/>
      <c r="K30" s="1740"/>
      <c r="L30" s="1740"/>
      <c r="M30" s="1740"/>
      <c r="N30" s="1740"/>
      <c r="O30" s="852"/>
      <c r="P30" s="853"/>
      <c r="Q30" s="853"/>
      <c r="S30" s="816"/>
    </row>
    <row r="31" spans="1:19" s="847" customFormat="1" ht="6.75" customHeight="1">
      <c r="A31" s="1740"/>
      <c r="B31" s="1740"/>
      <c r="C31" s="1740"/>
      <c r="D31" s="1740"/>
      <c r="E31" s="1740"/>
      <c r="F31" s="1740"/>
      <c r="G31" s="1740"/>
      <c r="H31" s="1740"/>
      <c r="I31" s="1740"/>
      <c r="J31" s="1740"/>
      <c r="K31" s="1740"/>
      <c r="L31" s="1740"/>
      <c r="M31" s="1740"/>
      <c r="N31" s="1740"/>
      <c r="O31" s="852"/>
      <c r="P31" s="853"/>
      <c r="Q31" s="853"/>
      <c r="S31" s="816"/>
    </row>
    <row r="32" spans="1:19" s="847" customFormat="1" ht="29.25" customHeight="1">
      <c r="A32" s="834"/>
      <c r="B32" s="834"/>
      <c r="C32" s="834"/>
      <c r="D32" s="834"/>
      <c r="E32" s="838"/>
      <c r="F32" s="854" t="s">
        <v>173</v>
      </c>
      <c r="G32" s="854" t="s">
        <v>174</v>
      </c>
      <c r="H32" s="855"/>
      <c r="I32" s="755"/>
      <c r="J32" s="755"/>
      <c r="K32" s="755"/>
      <c r="L32" s="755"/>
      <c r="M32" s="755"/>
      <c r="N32" s="755"/>
      <c r="O32" s="853"/>
      <c r="P32" s="853"/>
      <c r="Q32" s="853"/>
      <c r="S32" s="816"/>
    </row>
    <row r="33" spans="1:23" s="847" customFormat="1" ht="27.75" customHeight="1">
      <c r="A33" s="1737" t="s">
        <v>175</v>
      </c>
      <c r="B33" s="1737"/>
      <c r="C33" s="1737"/>
      <c r="D33" s="1737"/>
      <c r="E33" s="856"/>
      <c r="F33" s="857" t="s">
        <v>1137</v>
      </c>
      <c r="G33" s="858">
        <v>43098</v>
      </c>
      <c r="H33" s="859"/>
      <c r="I33" s="848"/>
      <c r="J33" s="848"/>
      <c r="K33" s="848"/>
      <c r="L33" s="848"/>
      <c r="M33" s="848"/>
      <c r="N33" s="848"/>
      <c r="O33" s="848" t="s">
        <v>176</v>
      </c>
      <c r="P33" s="856"/>
      <c r="Q33" s="856"/>
      <c r="S33" s="816"/>
    </row>
    <row r="34" spans="1:23" s="847" customFormat="1">
      <c r="A34" s="856" t="s">
        <v>319</v>
      </c>
      <c r="B34" s="856"/>
      <c r="C34" s="856"/>
      <c r="D34" s="856"/>
      <c r="E34" s="856"/>
      <c r="F34" s="856"/>
      <c r="G34" s="856"/>
      <c r="H34" s="856"/>
      <c r="I34" s="848"/>
      <c r="J34" s="848"/>
      <c r="K34" s="848"/>
      <c r="L34" s="848"/>
      <c r="M34" s="848"/>
      <c r="N34" s="848"/>
      <c r="O34" s="848" t="s">
        <v>177</v>
      </c>
      <c r="P34" s="856"/>
      <c r="Q34" s="856"/>
      <c r="S34" s="816"/>
    </row>
    <row r="35" spans="1:23" s="847" customFormat="1">
      <c r="A35" s="860"/>
      <c r="B35" s="860"/>
      <c r="C35" s="860"/>
      <c r="D35" s="860"/>
      <c r="E35" s="860"/>
      <c r="F35" s="856"/>
      <c r="G35" s="856"/>
      <c r="H35" s="856"/>
      <c r="I35" s="848"/>
      <c r="J35" s="848"/>
      <c r="K35" s="848"/>
      <c r="L35" s="848"/>
      <c r="M35" s="848"/>
      <c r="N35" s="848"/>
      <c r="O35" s="1720" t="s">
        <v>320</v>
      </c>
      <c r="P35" s="1720"/>
      <c r="Q35" s="848"/>
      <c r="S35" s="816"/>
    </row>
    <row r="36" spans="1:23" s="847" customFormat="1">
      <c r="A36" s="860"/>
      <c r="B36" s="860"/>
      <c r="C36" s="860"/>
      <c r="D36" s="860"/>
      <c r="E36" s="860"/>
      <c r="F36" s="856"/>
      <c r="G36" s="856"/>
      <c r="H36" s="856"/>
      <c r="I36" s="848"/>
      <c r="J36" s="848"/>
      <c r="K36" s="848"/>
      <c r="L36" s="848"/>
      <c r="M36" s="848"/>
      <c r="N36" s="848"/>
      <c r="O36" s="848" t="s">
        <v>321</v>
      </c>
      <c r="P36" s="848"/>
      <c r="Q36" s="848"/>
      <c r="S36" s="816"/>
    </row>
    <row r="37" spans="1:23" s="847" customFormat="1" ht="15" customHeight="1">
      <c r="A37" s="1727"/>
      <c r="B37" s="1727"/>
      <c r="C37" s="1727"/>
      <c r="D37" s="1727"/>
      <c r="E37" s="1727"/>
      <c r="F37" s="1727"/>
      <c r="G37" s="1727"/>
      <c r="H37" s="1727"/>
      <c r="I37" s="1727"/>
      <c r="J37" s="1727"/>
      <c r="K37" s="1727"/>
      <c r="L37" s="1727"/>
      <c r="M37" s="1727"/>
      <c r="N37" s="1727"/>
      <c r="O37" s="1727"/>
      <c r="P37" s="1727"/>
      <c r="Q37" s="844"/>
      <c r="S37" s="816"/>
    </row>
    <row r="38" spans="1:23" s="861" customFormat="1" ht="42" customHeight="1">
      <c r="A38" s="1728" t="s">
        <v>1267</v>
      </c>
      <c r="B38" s="1736" t="s">
        <v>179</v>
      </c>
      <c r="C38" s="1728"/>
      <c r="D38" s="1733" t="s">
        <v>180</v>
      </c>
      <c r="E38" s="1728" t="s">
        <v>181</v>
      </c>
      <c r="F38" s="1728" t="s">
        <v>322</v>
      </c>
      <c r="G38" s="1729" t="s">
        <v>182</v>
      </c>
      <c r="H38" s="1728" t="s">
        <v>323</v>
      </c>
      <c r="I38" s="1734" t="s">
        <v>886</v>
      </c>
      <c r="J38" s="1735"/>
      <c r="K38" s="1735"/>
      <c r="L38" s="1735"/>
      <c r="M38" s="1735"/>
      <c r="N38" s="1735"/>
      <c r="O38" s="1736"/>
      <c r="P38" s="1729" t="s">
        <v>324</v>
      </c>
      <c r="Q38" s="1729" t="s">
        <v>1062</v>
      </c>
      <c r="S38" s="817"/>
    </row>
    <row r="39" spans="1:23" s="861" customFormat="1" ht="123.75" customHeight="1">
      <c r="A39" s="1728"/>
      <c r="B39" s="862" t="s">
        <v>1268</v>
      </c>
      <c r="C39" s="863" t="s">
        <v>1269</v>
      </c>
      <c r="D39" s="1733"/>
      <c r="E39" s="1728"/>
      <c r="F39" s="1728"/>
      <c r="G39" s="1730"/>
      <c r="H39" s="1728"/>
      <c r="I39" s="864" t="s">
        <v>325</v>
      </c>
      <c r="J39" s="865" t="s">
        <v>326</v>
      </c>
      <c r="K39" s="864" t="s">
        <v>327</v>
      </c>
      <c r="L39" s="864" t="s">
        <v>328</v>
      </c>
      <c r="M39" s="865" t="s">
        <v>1623</v>
      </c>
      <c r="N39" s="864" t="s">
        <v>1624</v>
      </c>
      <c r="O39" s="864" t="s">
        <v>1625</v>
      </c>
      <c r="P39" s="1730"/>
      <c r="Q39" s="1730"/>
      <c r="S39" s="818"/>
      <c r="T39" s="866"/>
    </row>
    <row r="40" spans="1:23" s="861" customFormat="1" ht="15" customHeight="1">
      <c r="A40" s="117">
        <v>1</v>
      </c>
      <c r="B40" s="867" t="s">
        <v>1270</v>
      </c>
      <c r="C40" s="867" t="s">
        <v>1271</v>
      </c>
      <c r="D40" s="867" t="s">
        <v>1272</v>
      </c>
      <c r="E40" s="868">
        <v>5</v>
      </c>
      <c r="F40" s="868">
        <v>6</v>
      </c>
      <c r="G40" s="868">
        <v>7</v>
      </c>
      <c r="H40" s="868">
        <v>7</v>
      </c>
      <c r="I40" s="868">
        <v>10</v>
      </c>
      <c r="J40" s="868">
        <v>11</v>
      </c>
      <c r="K40" s="868">
        <v>12</v>
      </c>
      <c r="L40" s="868">
        <v>13</v>
      </c>
      <c r="M40" s="868">
        <v>14</v>
      </c>
      <c r="N40" s="868">
        <v>15</v>
      </c>
      <c r="O40" s="868">
        <v>15</v>
      </c>
      <c r="P40" s="868">
        <v>16</v>
      </c>
      <c r="Q40" s="868">
        <v>17</v>
      </c>
      <c r="R40" s="861" t="s">
        <v>1626</v>
      </c>
      <c r="S40" s="818" t="s">
        <v>1627</v>
      </c>
      <c r="T40" s="866" t="s">
        <v>1628</v>
      </c>
      <c r="U40" s="861" t="s">
        <v>1629</v>
      </c>
      <c r="V40" s="861">
        <v>9926</v>
      </c>
      <c r="W40" s="861" t="s">
        <v>1630</v>
      </c>
    </row>
    <row r="41" spans="1:23" s="877" customFormat="1" ht="22.5" customHeight="1">
      <c r="A41" s="854">
        <v>1</v>
      </c>
      <c r="B41" s="869"/>
      <c r="C41" s="854"/>
      <c r="D41" s="870" t="s">
        <v>1039</v>
      </c>
      <c r="E41" s="871">
        <v>1</v>
      </c>
      <c r="F41" s="872">
        <f>6691.1*2.1</f>
        <v>14051.310000000001</v>
      </c>
      <c r="G41" s="873">
        <f>F41</f>
        <v>14051.310000000001</v>
      </c>
      <c r="H41" s="872">
        <f>ROUND(E41*F41,2)</f>
        <v>14051.31</v>
      </c>
      <c r="I41" s="873"/>
      <c r="J41" s="873">
        <f>ROUND(E41*F41*0.2,2)</f>
        <v>2810.26</v>
      </c>
      <c r="K41" s="873">
        <f>ROUND(E41*F41*0.15,2)</f>
        <v>2107.6999999999998</v>
      </c>
      <c r="L41" s="873">
        <f>ROUND(E41*F41*0.25,2)</f>
        <v>3512.83</v>
      </c>
      <c r="M41" s="873"/>
      <c r="N41" s="873"/>
      <c r="O41" s="873"/>
      <c r="P41" s="873">
        <f>SUM(H41:O41)</f>
        <v>22482.1</v>
      </c>
      <c r="Q41" s="873"/>
      <c r="R41" s="874">
        <f>P41*1.6</f>
        <v>35971.360000000001</v>
      </c>
      <c r="S41" s="819">
        <f>R41*R130</f>
        <v>15616.913013773528</v>
      </c>
      <c r="T41" s="875">
        <f>R41+S41</f>
        <v>51588.273013773527</v>
      </c>
      <c r="U41" s="876"/>
      <c r="V41" s="861">
        <v>9926</v>
      </c>
      <c r="W41" s="877">
        <f>V41*E41</f>
        <v>9926</v>
      </c>
    </row>
    <row r="42" spans="1:23" s="877" customFormat="1" ht="30">
      <c r="A42" s="854">
        <f>A41+1</f>
        <v>2</v>
      </c>
      <c r="B42" s="869"/>
      <c r="C42" s="854"/>
      <c r="D42" s="870" t="s">
        <v>1631</v>
      </c>
      <c r="E42" s="871">
        <v>1</v>
      </c>
      <c r="F42" s="878">
        <f>ROUND(F41*70%,2)</f>
        <v>9835.92</v>
      </c>
      <c r="G42" s="873">
        <f>F42</f>
        <v>9835.92</v>
      </c>
      <c r="H42" s="873">
        <f>ROUND(E42*F42,2)</f>
        <v>9835.92</v>
      </c>
      <c r="I42" s="873"/>
      <c r="J42" s="873">
        <f t="shared" ref="J42:J72" si="0">ROUND(E42*F42*0.2,2)</f>
        <v>1967.18</v>
      </c>
      <c r="K42" s="873">
        <f t="shared" ref="K42:K72" si="1">ROUND(E42*F42*0.15,2)</f>
        <v>1475.39</v>
      </c>
      <c r="L42" s="873">
        <f t="shared" ref="L42:L72" si="2">ROUND(E42*F42*0.25,2)</f>
        <v>2458.98</v>
      </c>
      <c r="M42" s="873"/>
      <c r="N42" s="873"/>
      <c r="O42" s="873"/>
      <c r="P42" s="873">
        <f t="shared" ref="P42:P72" si="3">SUM(H42:O42)</f>
        <v>15737.47</v>
      </c>
      <c r="Q42" s="873"/>
      <c r="R42" s="874">
        <f>P42*1.6</f>
        <v>25179.952000000001</v>
      </c>
      <c r="S42" s="819"/>
      <c r="T42" s="875">
        <f>R42+S42</f>
        <v>25179.952000000001</v>
      </c>
      <c r="U42" s="876"/>
      <c r="V42" s="861">
        <v>9926</v>
      </c>
      <c r="W42" s="877">
        <f>V42*E42</f>
        <v>9926</v>
      </c>
    </row>
    <row r="43" spans="1:23" s="877" customFormat="1" ht="45">
      <c r="A43" s="854">
        <f t="shared" ref="A43:A72" si="4">A42+1</f>
        <v>3</v>
      </c>
      <c r="B43" s="869"/>
      <c r="C43" s="854"/>
      <c r="D43" s="870" t="s">
        <v>1632</v>
      </c>
      <c r="E43" s="871">
        <v>1</v>
      </c>
      <c r="F43" s="878">
        <f>ROUND(F41*70%,2)</f>
        <v>9835.92</v>
      </c>
      <c r="G43" s="873">
        <f>F43</f>
        <v>9835.92</v>
      </c>
      <c r="H43" s="873">
        <f>ROUND(E43*F43,2)</f>
        <v>9835.92</v>
      </c>
      <c r="I43" s="873"/>
      <c r="J43" s="873">
        <f t="shared" si="0"/>
        <v>1967.18</v>
      </c>
      <c r="K43" s="873">
        <f t="shared" si="1"/>
        <v>1475.39</v>
      </c>
      <c r="L43" s="873">
        <f t="shared" si="2"/>
        <v>2458.98</v>
      </c>
      <c r="M43" s="873"/>
      <c r="N43" s="873"/>
      <c r="O43" s="873"/>
      <c r="P43" s="873">
        <f t="shared" si="3"/>
        <v>15737.47</v>
      </c>
      <c r="Q43" s="873"/>
      <c r="R43" s="874">
        <f>P43*1.6</f>
        <v>25179.952000000001</v>
      </c>
      <c r="S43" s="819"/>
      <c r="T43" s="875">
        <f>R43+S43</f>
        <v>25179.952000000001</v>
      </c>
      <c r="U43" s="876"/>
      <c r="V43" s="861">
        <v>9926</v>
      </c>
      <c r="W43" s="877">
        <f>V43*E43</f>
        <v>9926</v>
      </c>
    </row>
    <row r="44" spans="1:23" s="877" customFormat="1" ht="20.25" customHeight="1">
      <c r="A44" s="854">
        <f t="shared" si="4"/>
        <v>4</v>
      </c>
      <c r="B44" s="869"/>
      <c r="C44" s="879"/>
      <c r="D44" s="870" t="s">
        <v>1633</v>
      </c>
      <c r="E44" s="871">
        <v>1</v>
      </c>
      <c r="F44" s="880">
        <v>3981</v>
      </c>
      <c r="G44" s="873">
        <f>F44</f>
        <v>3981</v>
      </c>
      <c r="H44" s="873">
        <f>ROUND(E44*F44,2)</f>
        <v>3981</v>
      </c>
      <c r="I44" s="873">
        <f>ROUND(H44*0.04,2)</f>
        <v>159.24</v>
      </c>
      <c r="J44" s="873">
        <f t="shared" si="0"/>
        <v>796.2</v>
      </c>
      <c r="K44" s="873">
        <f t="shared" si="1"/>
        <v>597.15</v>
      </c>
      <c r="L44" s="873">
        <f t="shared" si="2"/>
        <v>995.25</v>
      </c>
      <c r="M44" s="873"/>
      <c r="N44" s="873"/>
      <c r="O44" s="873"/>
      <c r="P44" s="873">
        <f t="shared" si="3"/>
        <v>6528.8399999999992</v>
      </c>
      <c r="Q44" s="873"/>
      <c r="R44" s="874">
        <f>P44*1.6</f>
        <v>10446.144</v>
      </c>
      <c r="S44" s="819"/>
      <c r="T44" s="875">
        <f>R44+S44</f>
        <v>10446.144</v>
      </c>
      <c r="U44" s="876"/>
      <c r="V44" s="861">
        <v>9926</v>
      </c>
      <c r="W44" s="877">
        <f>V44*E44</f>
        <v>9926</v>
      </c>
    </row>
    <row r="45" spans="1:23" s="887" customFormat="1" ht="20.25" customHeight="1">
      <c r="A45" s="881">
        <f t="shared" si="4"/>
        <v>5</v>
      </c>
      <c r="B45" s="882"/>
      <c r="C45" s="881"/>
      <c r="D45" s="883" t="s">
        <v>1634</v>
      </c>
      <c r="E45" s="884">
        <v>8.8800000000000008</v>
      </c>
      <c r="F45" s="880">
        <v>6967</v>
      </c>
      <c r="G45" s="872">
        <f>ROUND(H45/E45,2)</f>
        <v>9340.76</v>
      </c>
      <c r="H45" s="885">
        <v>82945.98</v>
      </c>
      <c r="I45" s="872"/>
      <c r="J45" s="886">
        <v>12385.77</v>
      </c>
      <c r="K45" s="886">
        <v>9289.33</v>
      </c>
      <c r="L45" s="886">
        <v>15482.22</v>
      </c>
      <c r="M45" s="886">
        <v>2477.15</v>
      </c>
      <c r="N45" s="872"/>
      <c r="O45" s="872"/>
      <c r="P45" s="872">
        <f t="shared" si="3"/>
        <v>122580.45</v>
      </c>
      <c r="Q45" s="872"/>
      <c r="S45" s="820"/>
      <c r="T45" s="888"/>
    </row>
    <row r="46" spans="1:23" s="887" customFormat="1" ht="20.25" customHeight="1">
      <c r="A46" s="881">
        <f t="shared" si="4"/>
        <v>6</v>
      </c>
      <c r="B46" s="882"/>
      <c r="C46" s="881"/>
      <c r="D46" s="883" t="s">
        <v>1634</v>
      </c>
      <c r="E46" s="884">
        <v>5.45</v>
      </c>
      <c r="F46" s="880">
        <v>6115</v>
      </c>
      <c r="G46" s="872">
        <f t="shared" ref="G46:G53" si="5">ROUND(H46/E46,2)</f>
        <v>8109.7</v>
      </c>
      <c r="H46" s="885">
        <v>44197.86</v>
      </c>
      <c r="I46" s="872"/>
      <c r="J46" s="886">
        <v>6658.56</v>
      </c>
      <c r="K46" s="886">
        <v>4993.92</v>
      </c>
      <c r="L46" s="886">
        <v>8323.2000000000007</v>
      </c>
      <c r="M46" s="886">
        <v>543.55999999999995</v>
      </c>
      <c r="N46" s="872"/>
      <c r="O46" s="872"/>
      <c r="P46" s="872">
        <f t="shared" si="3"/>
        <v>64717.099999999991</v>
      </c>
      <c r="Q46" s="872"/>
      <c r="S46" s="820"/>
      <c r="T46" s="888"/>
    </row>
    <row r="47" spans="1:23" s="887" customFormat="1" ht="15" customHeight="1">
      <c r="A47" s="881">
        <f t="shared" si="4"/>
        <v>7</v>
      </c>
      <c r="B47" s="882"/>
      <c r="C47" s="881"/>
      <c r="D47" s="883" t="s">
        <v>1635</v>
      </c>
      <c r="E47" s="889">
        <f>1+0.5</f>
        <v>1.5</v>
      </c>
      <c r="F47" s="880">
        <v>6967</v>
      </c>
      <c r="G47" s="872">
        <f t="shared" si="5"/>
        <v>9057.1</v>
      </c>
      <c r="H47" s="885">
        <v>13585.65</v>
      </c>
      <c r="I47" s="872"/>
      <c r="J47" s="886">
        <f t="shared" si="0"/>
        <v>2090.1</v>
      </c>
      <c r="K47" s="886">
        <f t="shared" si="1"/>
        <v>1567.58</v>
      </c>
      <c r="L47" s="886">
        <f t="shared" si="2"/>
        <v>2612.63</v>
      </c>
      <c r="M47" s="872"/>
      <c r="N47" s="872"/>
      <c r="O47" s="872"/>
      <c r="P47" s="872">
        <f t="shared" si="3"/>
        <v>19855.960000000003</v>
      </c>
      <c r="Q47" s="872"/>
      <c r="S47" s="820"/>
      <c r="T47" s="888"/>
    </row>
    <row r="48" spans="1:23" s="887" customFormat="1" ht="15.75" customHeight="1">
      <c r="A48" s="881">
        <f t="shared" si="4"/>
        <v>8</v>
      </c>
      <c r="B48" s="882"/>
      <c r="C48" s="881"/>
      <c r="D48" s="883" t="s">
        <v>1636</v>
      </c>
      <c r="E48" s="889">
        <v>1</v>
      </c>
      <c r="F48" s="880">
        <v>6967</v>
      </c>
      <c r="G48" s="872">
        <f t="shared" si="5"/>
        <v>9057.1</v>
      </c>
      <c r="H48" s="885">
        <v>9057.1</v>
      </c>
      <c r="I48" s="872"/>
      <c r="J48" s="886">
        <f t="shared" si="0"/>
        <v>1393.4</v>
      </c>
      <c r="K48" s="886">
        <f t="shared" si="1"/>
        <v>1045.05</v>
      </c>
      <c r="L48" s="886">
        <f t="shared" si="2"/>
        <v>1741.75</v>
      </c>
      <c r="M48" s="872"/>
      <c r="N48" s="872"/>
      <c r="O48" s="872"/>
      <c r="P48" s="872">
        <f t="shared" si="3"/>
        <v>13237.3</v>
      </c>
      <c r="Q48" s="872"/>
      <c r="S48" s="820"/>
      <c r="T48" s="888"/>
    </row>
    <row r="49" spans="1:25" s="887" customFormat="1" ht="20.25" customHeight="1">
      <c r="A49" s="881">
        <f t="shared" si="4"/>
        <v>9</v>
      </c>
      <c r="B49" s="882"/>
      <c r="C49" s="881"/>
      <c r="D49" s="883" t="s">
        <v>1637</v>
      </c>
      <c r="E49" s="889">
        <v>2.44</v>
      </c>
      <c r="F49" s="880">
        <v>6364</v>
      </c>
      <c r="G49" s="872">
        <f t="shared" si="5"/>
        <v>8273.2000000000007</v>
      </c>
      <c r="H49" s="885">
        <v>20186.61</v>
      </c>
      <c r="I49" s="872"/>
      <c r="J49" s="886">
        <f t="shared" si="0"/>
        <v>3105.63</v>
      </c>
      <c r="K49" s="886">
        <f t="shared" si="1"/>
        <v>2329.2199999999998</v>
      </c>
      <c r="L49" s="886">
        <f t="shared" si="2"/>
        <v>3882.04</v>
      </c>
      <c r="M49" s="872"/>
      <c r="N49" s="872"/>
      <c r="O49" s="872">
        <f>[4]празднич!F41</f>
        <v>2112.3200000000002</v>
      </c>
      <c r="P49" s="872">
        <f t="shared" si="3"/>
        <v>31615.820000000003</v>
      </c>
      <c r="Q49" s="872"/>
      <c r="S49" s="820"/>
      <c r="T49" s="888"/>
    </row>
    <row r="50" spans="1:25" s="887" customFormat="1" ht="16.5" customHeight="1">
      <c r="A50" s="881">
        <f t="shared" si="4"/>
        <v>10</v>
      </c>
      <c r="B50" s="882"/>
      <c r="C50" s="881"/>
      <c r="D50" s="883" t="s">
        <v>1637</v>
      </c>
      <c r="E50" s="889">
        <v>6.76</v>
      </c>
      <c r="F50" s="880">
        <v>5588</v>
      </c>
      <c r="G50" s="872">
        <f t="shared" si="5"/>
        <v>7269.36</v>
      </c>
      <c r="H50" s="885">
        <v>49140.87</v>
      </c>
      <c r="I50" s="872"/>
      <c r="J50" s="886">
        <f t="shared" si="0"/>
        <v>7554.98</v>
      </c>
      <c r="K50" s="886">
        <f t="shared" si="1"/>
        <v>5666.23</v>
      </c>
      <c r="L50" s="886">
        <f t="shared" si="2"/>
        <v>9443.7199999999993</v>
      </c>
      <c r="M50" s="872"/>
      <c r="N50" s="872"/>
      <c r="O50" s="872"/>
      <c r="P50" s="872">
        <f t="shared" si="3"/>
        <v>71805.8</v>
      </c>
      <c r="Q50" s="872"/>
      <c r="S50" s="820"/>
      <c r="T50" s="888"/>
    </row>
    <row r="51" spans="1:25" s="887" customFormat="1" ht="20.25" customHeight="1">
      <c r="A51" s="881">
        <f t="shared" si="4"/>
        <v>11</v>
      </c>
      <c r="B51" s="882"/>
      <c r="C51" s="881"/>
      <c r="D51" s="883" t="s">
        <v>1638</v>
      </c>
      <c r="E51" s="889">
        <v>1</v>
      </c>
      <c r="F51" s="880">
        <v>5810</v>
      </c>
      <c r="G51" s="872">
        <f t="shared" si="5"/>
        <v>7553</v>
      </c>
      <c r="H51" s="885">
        <v>7553</v>
      </c>
      <c r="I51" s="872"/>
      <c r="J51" s="886">
        <f t="shared" si="0"/>
        <v>1162</v>
      </c>
      <c r="K51" s="886">
        <f t="shared" si="1"/>
        <v>871.5</v>
      </c>
      <c r="L51" s="886">
        <f t="shared" si="2"/>
        <v>1452.5</v>
      </c>
      <c r="M51" s="872"/>
      <c r="N51" s="872"/>
      <c r="O51" s="872"/>
      <c r="P51" s="872">
        <f t="shared" si="3"/>
        <v>11039</v>
      </c>
      <c r="Q51" s="872"/>
      <c r="S51" s="820"/>
      <c r="T51" s="888"/>
    </row>
    <row r="52" spans="1:25" s="887" customFormat="1" ht="20.25" customHeight="1">
      <c r="A52" s="881">
        <f t="shared" si="4"/>
        <v>12</v>
      </c>
      <c r="B52" s="882"/>
      <c r="C52" s="881"/>
      <c r="D52" s="883" t="s">
        <v>1639</v>
      </c>
      <c r="E52" s="889">
        <v>1</v>
      </c>
      <c r="F52" s="880">
        <v>5102</v>
      </c>
      <c r="G52" s="872">
        <f>ROUND(H52/E52,2)</f>
        <v>6632.6</v>
      </c>
      <c r="H52" s="885">
        <v>6632.6</v>
      </c>
      <c r="I52" s="872"/>
      <c r="J52" s="886">
        <f t="shared" si="0"/>
        <v>1020.4</v>
      </c>
      <c r="K52" s="886">
        <f t="shared" si="1"/>
        <v>765.3</v>
      </c>
      <c r="L52" s="886">
        <f t="shared" si="2"/>
        <v>1275.5</v>
      </c>
      <c r="M52" s="872"/>
      <c r="N52" s="872"/>
      <c r="O52" s="872"/>
      <c r="P52" s="872">
        <f t="shared" si="3"/>
        <v>9693.7999999999993</v>
      </c>
      <c r="Q52" s="872"/>
      <c r="S52" s="820"/>
      <c r="T52" s="888"/>
    </row>
    <row r="53" spans="1:25" s="887" customFormat="1" ht="20.25" customHeight="1">
      <c r="A53" s="881">
        <f t="shared" si="4"/>
        <v>13</v>
      </c>
      <c r="B53" s="882"/>
      <c r="C53" s="881"/>
      <c r="D53" s="883" t="s">
        <v>1640</v>
      </c>
      <c r="E53" s="889">
        <v>1</v>
      </c>
      <c r="F53" s="880">
        <v>6364</v>
      </c>
      <c r="G53" s="872">
        <f t="shared" si="5"/>
        <v>8273.2000000000007</v>
      </c>
      <c r="H53" s="885">
        <v>8273.2000000000007</v>
      </c>
      <c r="I53" s="872"/>
      <c r="J53" s="886">
        <f t="shared" si="0"/>
        <v>1272.8</v>
      </c>
      <c r="K53" s="886">
        <f t="shared" si="1"/>
        <v>954.6</v>
      </c>
      <c r="L53" s="886">
        <f t="shared" si="2"/>
        <v>1591</v>
      </c>
      <c r="M53" s="872"/>
      <c r="N53" s="872"/>
      <c r="O53" s="872"/>
      <c r="P53" s="872">
        <f t="shared" si="3"/>
        <v>12091.6</v>
      </c>
      <c r="Q53" s="872"/>
      <c r="S53" s="820"/>
      <c r="T53" s="888"/>
    </row>
    <row r="54" spans="1:25" s="887" customFormat="1" ht="20.25" customHeight="1">
      <c r="A54" s="881">
        <f t="shared" si="4"/>
        <v>14</v>
      </c>
      <c r="B54" s="882"/>
      <c r="C54" s="881"/>
      <c r="D54" s="883" t="s">
        <v>1641</v>
      </c>
      <c r="E54" s="889">
        <v>1</v>
      </c>
      <c r="F54" s="880">
        <v>6967</v>
      </c>
      <c r="G54" s="872">
        <f>ROUND(H54/E54,2)</f>
        <v>9057.1</v>
      </c>
      <c r="H54" s="885">
        <v>9057.1</v>
      </c>
      <c r="I54" s="872"/>
      <c r="J54" s="886">
        <f>ROUND(E54*F54*0.2,2)</f>
        <v>1393.4</v>
      </c>
      <c r="K54" s="886">
        <f>ROUND(E54*F54*0.15,2)</f>
        <v>1045.05</v>
      </c>
      <c r="L54" s="886">
        <f>ROUND(E54*F54*0.25,2)</f>
        <v>1741.75</v>
      </c>
      <c r="M54" s="872"/>
      <c r="N54" s="872"/>
      <c r="O54" s="872"/>
      <c r="P54" s="872">
        <f>SUM(H54:O54)</f>
        <v>13237.3</v>
      </c>
      <c r="Q54" s="872"/>
      <c r="S54" s="820"/>
      <c r="T54" s="888"/>
    </row>
    <row r="55" spans="1:25" s="877" customFormat="1" ht="20.25" customHeight="1">
      <c r="A55" s="854">
        <f t="shared" si="4"/>
        <v>15</v>
      </c>
      <c r="B55" s="869"/>
      <c r="C55" s="854"/>
      <c r="D55" s="870" t="s">
        <v>1642</v>
      </c>
      <c r="E55" s="871">
        <f>0.5-0.25</f>
        <v>0.25</v>
      </c>
      <c r="F55" s="880">
        <v>5675</v>
      </c>
      <c r="G55" s="873">
        <f>F55</f>
        <v>5675</v>
      </c>
      <c r="H55" s="873">
        <f>ROUND(E55*F55,2)</f>
        <v>1418.75</v>
      </c>
      <c r="I55" s="873"/>
      <c r="J55" s="873">
        <f>ROUND(E55*F55*0.25,2)</f>
        <v>354.69</v>
      </c>
      <c r="K55" s="873">
        <f>ROUND(E55*F55*0.15,2)</f>
        <v>212.81</v>
      </c>
      <c r="L55" s="873">
        <f>ROUND(E55*F55*0.25,2)</f>
        <v>354.69</v>
      </c>
      <c r="M55" s="873"/>
      <c r="N55" s="873"/>
      <c r="O55" s="873"/>
      <c r="P55" s="873">
        <f>SUM(H55:O55)</f>
        <v>2340.94</v>
      </c>
      <c r="Q55" s="873"/>
      <c r="S55" s="821"/>
      <c r="T55" s="890"/>
      <c r="W55" s="876"/>
    </row>
    <row r="56" spans="1:25" s="877" customFormat="1" ht="19.5" customHeight="1">
      <c r="A56" s="854">
        <f t="shared" si="4"/>
        <v>16</v>
      </c>
      <c r="B56" s="869"/>
      <c r="C56" s="854"/>
      <c r="D56" s="870" t="s">
        <v>1643</v>
      </c>
      <c r="E56" s="871">
        <f>0.5-0.25</f>
        <v>0.25</v>
      </c>
      <c r="F56" s="880">
        <v>3922</v>
      </c>
      <c r="G56" s="873">
        <f t="shared" ref="G56:G72" si="6">F56</f>
        <v>3922</v>
      </c>
      <c r="H56" s="873">
        <f t="shared" ref="H56:H72" si="7">ROUND(E56*F56,2)</f>
        <v>980.5</v>
      </c>
      <c r="I56" s="873"/>
      <c r="J56" s="873">
        <f>ROUND(E56*F56*0.25,2)</f>
        <v>245.13</v>
      </c>
      <c r="K56" s="873">
        <f t="shared" si="1"/>
        <v>147.08000000000001</v>
      </c>
      <c r="L56" s="873">
        <f t="shared" si="2"/>
        <v>245.13</v>
      </c>
      <c r="M56" s="873"/>
      <c r="N56" s="873"/>
      <c r="O56" s="873"/>
      <c r="P56" s="873">
        <f t="shared" si="3"/>
        <v>1617.8400000000001</v>
      </c>
      <c r="Q56" s="873"/>
      <c r="S56" s="821"/>
      <c r="T56" s="890"/>
      <c r="X56" s="876"/>
    </row>
    <row r="57" spans="1:25" s="877" customFormat="1" ht="31.5" customHeight="1">
      <c r="A57" s="854">
        <f t="shared" si="4"/>
        <v>17</v>
      </c>
      <c r="B57" s="869"/>
      <c r="C57" s="854"/>
      <c r="D57" s="870" t="s">
        <v>1644</v>
      </c>
      <c r="E57" s="871">
        <v>1</v>
      </c>
      <c r="F57" s="880">
        <v>3623</v>
      </c>
      <c r="G57" s="873">
        <f t="shared" si="6"/>
        <v>3623</v>
      </c>
      <c r="H57" s="873">
        <f t="shared" si="7"/>
        <v>3623</v>
      </c>
      <c r="I57" s="873"/>
      <c r="J57" s="873">
        <f>ROUND(E57*F57*0.25,2)</f>
        <v>905.75</v>
      </c>
      <c r="K57" s="873">
        <f t="shared" si="1"/>
        <v>543.45000000000005</v>
      </c>
      <c r="L57" s="873">
        <f t="shared" si="2"/>
        <v>905.75</v>
      </c>
      <c r="M57" s="873"/>
      <c r="N57" s="873"/>
      <c r="O57" s="873"/>
      <c r="P57" s="873">
        <f t="shared" si="3"/>
        <v>5977.95</v>
      </c>
      <c r="Q57" s="873"/>
      <c r="S57" s="821"/>
      <c r="T57" s="890"/>
      <c r="Y57" s="876"/>
    </row>
    <row r="58" spans="1:25" s="877" customFormat="1" ht="20.25" customHeight="1">
      <c r="A58" s="854">
        <f t="shared" si="4"/>
        <v>18</v>
      </c>
      <c r="B58" s="869"/>
      <c r="C58" s="854"/>
      <c r="D58" s="870" t="s">
        <v>1645</v>
      </c>
      <c r="E58" s="871">
        <v>1</v>
      </c>
      <c r="F58" s="880">
        <v>2971</v>
      </c>
      <c r="G58" s="873">
        <f t="shared" si="6"/>
        <v>2971</v>
      </c>
      <c r="H58" s="873">
        <f t="shared" si="7"/>
        <v>2971</v>
      </c>
      <c r="I58" s="873"/>
      <c r="J58" s="873">
        <f t="shared" si="0"/>
        <v>594.20000000000005</v>
      </c>
      <c r="K58" s="873">
        <f t="shared" si="1"/>
        <v>445.65</v>
      </c>
      <c r="L58" s="873">
        <f t="shared" si="2"/>
        <v>742.75</v>
      </c>
      <c r="M58" s="873"/>
      <c r="N58" s="873"/>
      <c r="O58" s="873"/>
      <c r="P58" s="873">
        <f t="shared" si="3"/>
        <v>4753.6000000000004</v>
      </c>
      <c r="Q58" s="873"/>
      <c r="R58" s="874">
        <f>P58*1.6</f>
        <v>7605.7600000000011</v>
      </c>
      <c r="S58" s="819"/>
      <c r="T58" s="875">
        <f>R58+S58</f>
        <v>7605.7600000000011</v>
      </c>
      <c r="U58" s="876">
        <f>W58-T58</f>
        <v>2320.2399999999989</v>
      </c>
      <c r="V58" s="861">
        <v>9926</v>
      </c>
      <c r="W58" s="877">
        <f>V58*E58</f>
        <v>9926</v>
      </c>
    </row>
    <row r="59" spans="1:25" s="877" customFormat="1" ht="20.25" customHeight="1">
      <c r="A59" s="854">
        <f t="shared" si="4"/>
        <v>19</v>
      </c>
      <c r="B59" s="869"/>
      <c r="C59" s="854"/>
      <c r="D59" s="870" t="s">
        <v>1646</v>
      </c>
      <c r="E59" s="871">
        <f>1-0.25</f>
        <v>0.75</v>
      </c>
      <c r="F59" s="880">
        <v>3297</v>
      </c>
      <c r="G59" s="873">
        <f t="shared" si="6"/>
        <v>3297</v>
      </c>
      <c r="H59" s="873">
        <f t="shared" si="7"/>
        <v>2472.75</v>
      </c>
      <c r="I59" s="873"/>
      <c r="J59" s="873">
        <f t="shared" si="0"/>
        <v>494.55</v>
      </c>
      <c r="K59" s="873">
        <f t="shared" si="1"/>
        <v>370.91</v>
      </c>
      <c r="L59" s="873">
        <f t="shared" si="2"/>
        <v>618.19000000000005</v>
      </c>
      <c r="M59" s="873"/>
      <c r="N59" s="873"/>
      <c r="O59" s="873"/>
      <c r="P59" s="873">
        <f t="shared" si="3"/>
        <v>3956.4</v>
      </c>
      <c r="Q59" s="873"/>
      <c r="R59" s="874">
        <f t="shared" ref="R59:R72" si="8">P59*1.6</f>
        <v>6330.2400000000007</v>
      </c>
      <c r="S59" s="819"/>
      <c r="T59" s="875">
        <f t="shared" ref="T59:T72" si="9">R59+S59</f>
        <v>6330.2400000000007</v>
      </c>
      <c r="U59" s="876">
        <f t="shared" ref="U59:U72" si="10">W59-T59</f>
        <v>1114.2599999999993</v>
      </c>
      <c r="V59" s="861">
        <v>9926</v>
      </c>
      <c r="W59" s="877">
        <f t="shared" ref="W59:W72" si="11">V59*E59</f>
        <v>7444.5</v>
      </c>
    </row>
    <row r="60" spans="1:25" s="877" customFormat="1" ht="20.25" customHeight="1">
      <c r="A60" s="854">
        <f t="shared" si="4"/>
        <v>20</v>
      </c>
      <c r="B60" s="869"/>
      <c r="C60" s="854"/>
      <c r="D60" s="870" t="s">
        <v>1647</v>
      </c>
      <c r="E60" s="871">
        <v>1</v>
      </c>
      <c r="F60" s="880">
        <v>3623</v>
      </c>
      <c r="G60" s="873">
        <f t="shared" si="6"/>
        <v>3623</v>
      </c>
      <c r="H60" s="873">
        <f t="shared" si="7"/>
        <v>3623</v>
      </c>
      <c r="I60" s="873"/>
      <c r="J60" s="873">
        <f t="shared" si="0"/>
        <v>724.6</v>
      </c>
      <c r="K60" s="873">
        <f t="shared" si="1"/>
        <v>543.45000000000005</v>
      </c>
      <c r="L60" s="873">
        <f t="shared" si="2"/>
        <v>905.75</v>
      </c>
      <c r="M60" s="873"/>
      <c r="N60" s="873"/>
      <c r="O60" s="873"/>
      <c r="P60" s="873">
        <f t="shared" si="3"/>
        <v>5796.8</v>
      </c>
      <c r="Q60" s="873"/>
      <c r="R60" s="874">
        <f t="shared" si="8"/>
        <v>9274.880000000001</v>
      </c>
      <c r="S60" s="819"/>
      <c r="T60" s="875">
        <f t="shared" si="9"/>
        <v>9274.880000000001</v>
      </c>
      <c r="U60" s="876">
        <f t="shared" si="10"/>
        <v>651.11999999999898</v>
      </c>
      <c r="V60" s="861">
        <v>9926</v>
      </c>
      <c r="W60" s="877">
        <f t="shared" si="11"/>
        <v>9926</v>
      </c>
    </row>
    <row r="61" spans="1:25" s="877" customFormat="1" ht="20.25" customHeight="1">
      <c r="A61" s="854">
        <f t="shared" si="4"/>
        <v>21</v>
      </c>
      <c r="B61" s="869"/>
      <c r="C61" s="854"/>
      <c r="D61" s="870" t="s">
        <v>1648</v>
      </c>
      <c r="E61" s="871">
        <v>2.25</v>
      </c>
      <c r="F61" s="880">
        <v>2971</v>
      </c>
      <c r="G61" s="873">
        <f t="shared" si="6"/>
        <v>2971</v>
      </c>
      <c r="H61" s="873">
        <f t="shared" si="7"/>
        <v>6684.75</v>
      </c>
      <c r="I61" s="873">
        <f>ROUND(H61*0.04,2)</f>
        <v>267.39</v>
      </c>
      <c r="J61" s="873">
        <f t="shared" si="0"/>
        <v>1336.95</v>
      </c>
      <c r="K61" s="873">
        <f t="shared" si="1"/>
        <v>1002.71</v>
      </c>
      <c r="L61" s="873">
        <f t="shared" si="2"/>
        <v>1671.19</v>
      </c>
      <c r="M61" s="873"/>
      <c r="N61" s="873"/>
      <c r="O61" s="873">
        <f>[4]празднич!F52</f>
        <v>675.85</v>
      </c>
      <c r="P61" s="873">
        <f t="shared" si="3"/>
        <v>11638.84</v>
      </c>
      <c r="Q61" s="873"/>
      <c r="R61" s="874">
        <f t="shared" si="8"/>
        <v>18622.144</v>
      </c>
      <c r="S61" s="819"/>
      <c r="T61" s="875">
        <f t="shared" si="9"/>
        <v>18622.144</v>
      </c>
      <c r="U61" s="876">
        <f t="shared" si="10"/>
        <v>3711.3559999999998</v>
      </c>
      <c r="V61" s="861">
        <v>9926</v>
      </c>
      <c r="W61" s="877">
        <f t="shared" si="11"/>
        <v>22333.5</v>
      </c>
    </row>
    <row r="62" spans="1:25" s="877" customFormat="1" ht="20.25" customHeight="1">
      <c r="A62" s="854">
        <f t="shared" si="4"/>
        <v>22</v>
      </c>
      <c r="B62" s="869"/>
      <c r="C62" s="854"/>
      <c r="D62" s="870" t="s">
        <v>1649</v>
      </c>
      <c r="E62" s="871">
        <v>1</v>
      </c>
      <c r="F62" s="880">
        <v>2552</v>
      </c>
      <c r="G62" s="873">
        <f t="shared" si="6"/>
        <v>2552</v>
      </c>
      <c r="H62" s="873">
        <f t="shared" si="7"/>
        <v>2552</v>
      </c>
      <c r="I62" s="873"/>
      <c r="J62" s="873">
        <f t="shared" si="0"/>
        <v>510.4</v>
      </c>
      <c r="K62" s="873">
        <f t="shared" si="1"/>
        <v>382.8</v>
      </c>
      <c r="L62" s="873">
        <f t="shared" si="2"/>
        <v>638</v>
      </c>
      <c r="M62" s="873"/>
      <c r="N62" s="873"/>
      <c r="O62" s="873">
        <f>[4]празднич!F57/2.75*E62</f>
        <v>211.00363636363636</v>
      </c>
      <c r="P62" s="873">
        <f t="shared" si="3"/>
        <v>4294.2036363636362</v>
      </c>
      <c r="Q62" s="873"/>
      <c r="R62" s="874">
        <f t="shared" si="8"/>
        <v>6870.7258181818179</v>
      </c>
      <c r="S62" s="819"/>
      <c r="T62" s="875">
        <f t="shared" si="9"/>
        <v>6870.7258181818179</v>
      </c>
      <c r="U62" s="876">
        <f t="shared" si="10"/>
        <v>3055.2741818181821</v>
      </c>
      <c r="V62" s="861">
        <v>9926</v>
      </c>
      <c r="W62" s="877">
        <f t="shared" si="11"/>
        <v>9926</v>
      </c>
    </row>
    <row r="63" spans="1:25" s="877" customFormat="1" ht="20.25" customHeight="1">
      <c r="A63" s="854">
        <f t="shared" si="4"/>
        <v>23</v>
      </c>
      <c r="B63" s="869"/>
      <c r="C63" s="879"/>
      <c r="D63" s="870" t="s">
        <v>1650</v>
      </c>
      <c r="E63" s="871">
        <f>2.75-1</f>
        <v>1.75</v>
      </c>
      <c r="F63" s="880">
        <v>2552</v>
      </c>
      <c r="G63" s="873">
        <f t="shared" si="6"/>
        <v>2552</v>
      </c>
      <c r="H63" s="873">
        <f t="shared" si="7"/>
        <v>4466</v>
      </c>
      <c r="I63" s="873"/>
      <c r="J63" s="873">
        <f t="shared" si="0"/>
        <v>893.2</v>
      </c>
      <c r="K63" s="873">
        <f t="shared" si="1"/>
        <v>669.9</v>
      </c>
      <c r="L63" s="873">
        <f t="shared" si="2"/>
        <v>1116.5</v>
      </c>
      <c r="M63" s="873"/>
      <c r="N63" s="873"/>
      <c r="O63" s="873">
        <f>[4]празднич!F57/2.75*E63</f>
        <v>369.25636363636363</v>
      </c>
      <c r="P63" s="873">
        <f t="shared" si="3"/>
        <v>7514.8563636363633</v>
      </c>
      <c r="Q63" s="873"/>
      <c r="R63" s="874">
        <f t="shared" si="8"/>
        <v>12023.770181818181</v>
      </c>
      <c r="S63" s="819"/>
      <c r="T63" s="875">
        <f t="shared" si="9"/>
        <v>12023.770181818181</v>
      </c>
      <c r="U63" s="876">
        <f t="shared" si="10"/>
        <v>5346.7298181818187</v>
      </c>
      <c r="V63" s="861">
        <v>9926</v>
      </c>
      <c r="W63" s="877">
        <f t="shared" si="11"/>
        <v>17370.5</v>
      </c>
    </row>
    <row r="64" spans="1:25" s="877" customFormat="1" ht="20.25" customHeight="1">
      <c r="A64" s="854">
        <f t="shared" si="4"/>
        <v>24</v>
      </c>
      <c r="B64" s="869"/>
      <c r="C64" s="854"/>
      <c r="D64" s="870" t="s">
        <v>1651</v>
      </c>
      <c r="E64" s="871">
        <v>1</v>
      </c>
      <c r="F64" s="880">
        <v>2552</v>
      </c>
      <c r="G64" s="873">
        <f t="shared" si="6"/>
        <v>2552</v>
      </c>
      <c r="H64" s="873">
        <f t="shared" si="7"/>
        <v>2552</v>
      </c>
      <c r="I64" s="873"/>
      <c r="J64" s="873">
        <f t="shared" si="0"/>
        <v>510.4</v>
      </c>
      <c r="K64" s="873">
        <f t="shared" si="1"/>
        <v>382.8</v>
      </c>
      <c r="L64" s="873">
        <f t="shared" si="2"/>
        <v>638</v>
      </c>
      <c r="M64" s="873"/>
      <c r="N64" s="873"/>
      <c r="O64" s="873"/>
      <c r="P64" s="873">
        <f t="shared" si="3"/>
        <v>4083.2000000000003</v>
      </c>
      <c r="Q64" s="873"/>
      <c r="R64" s="874">
        <f t="shared" si="8"/>
        <v>6533.1200000000008</v>
      </c>
      <c r="S64" s="819"/>
      <c r="T64" s="875">
        <f t="shared" si="9"/>
        <v>6533.1200000000008</v>
      </c>
      <c r="U64" s="876">
        <f t="shared" si="10"/>
        <v>3392.8799999999992</v>
      </c>
      <c r="V64" s="861">
        <v>9926</v>
      </c>
      <c r="W64" s="877">
        <f t="shared" si="11"/>
        <v>9926</v>
      </c>
    </row>
    <row r="65" spans="1:25" s="877" customFormat="1" ht="26.25" customHeight="1">
      <c r="A65" s="854">
        <f t="shared" si="4"/>
        <v>25</v>
      </c>
      <c r="B65" s="869"/>
      <c r="C65" s="854"/>
      <c r="D65" s="870" t="s">
        <v>1652</v>
      </c>
      <c r="E65" s="871">
        <v>1</v>
      </c>
      <c r="F65" s="880">
        <v>2552</v>
      </c>
      <c r="G65" s="873">
        <f t="shared" si="6"/>
        <v>2552</v>
      </c>
      <c r="H65" s="873">
        <f t="shared" si="7"/>
        <v>2552</v>
      </c>
      <c r="I65" s="873"/>
      <c r="J65" s="873">
        <f t="shared" si="0"/>
        <v>510.4</v>
      </c>
      <c r="K65" s="873">
        <f t="shared" si="1"/>
        <v>382.8</v>
      </c>
      <c r="L65" s="873">
        <f t="shared" si="2"/>
        <v>638</v>
      </c>
      <c r="M65" s="873"/>
      <c r="N65" s="873"/>
      <c r="O65" s="873"/>
      <c r="P65" s="873">
        <f t="shared" si="3"/>
        <v>4083.2000000000003</v>
      </c>
      <c r="Q65" s="873"/>
      <c r="R65" s="874">
        <f t="shared" si="8"/>
        <v>6533.1200000000008</v>
      </c>
      <c r="S65" s="819"/>
      <c r="T65" s="875">
        <f t="shared" si="9"/>
        <v>6533.1200000000008</v>
      </c>
      <c r="U65" s="876">
        <f t="shared" si="10"/>
        <v>3392.8799999999992</v>
      </c>
      <c r="V65" s="861">
        <v>9926</v>
      </c>
      <c r="W65" s="877">
        <f t="shared" si="11"/>
        <v>9926</v>
      </c>
    </row>
    <row r="66" spans="1:25" s="877" customFormat="1" ht="20.25" customHeight="1">
      <c r="A66" s="854">
        <f t="shared" si="4"/>
        <v>26</v>
      </c>
      <c r="B66" s="869"/>
      <c r="C66" s="854"/>
      <c r="D66" s="870" t="s">
        <v>1653</v>
      </c>
      <c r="E66" s="871">
        <v>10.7</v>
      </c>
      <c r="F66" s="880">
        <v>2552</v>
      </c>
      <c r="G66" s="873">
        <f t="shared" si="6"/>
        <v>2552</v>
      </c>
      <c r="H66" s="873">
        <f t="shared" si="7"/>
        <v>27306.400000000001</v>
      </c>
      <c r="I66" s="873"/>
      <c r="J66" s="873">
        <f t="shared" si="0"/>
        <v>5461.28</v>
      </c>
      <c r="K66" s="873">
        <f t="shared" si="1"/>
        <v>4095.96</v>
      </c>
      <c r="L66" s="873">
        <f t="shared" si="2"/>
        <v>6826.6</v>
      </c>
      <c r="M66" s="873"/>
      <c r="N66" s="873"/>
      <c r="O66" s="873">
        <f>[4]ночные!F26+[4]празднич!F46</f>
        <v>4637.54</v>
      </c>
      <c r="P66" s="873">
        <f t="shared" si="3"/>
        <v>48327.78</v>
      </c>
      <c r="Q66" s="873"/>
      <c r="R66" s="874">
        <f t="shared" si="8"/>
        <v>77324.448000000004</v>
      </c>
      <c r="S66" s="819"/>
      <c r="T66" s="875">
        <f t="shared" si="9"/>
        <v>77324.448000000004</v>
      </c>
      <c r="U66" s="876">
        <f t="shared" si="10"/>
        <v>28883.751999999993</v>
      </c>
      <c r="V66" s="861">
        <v>9926</v>
      </c>
      <c r="W66" s="877">
        <f>V66*E66</f>
        <v>106208.2</v>
      </c>
    </row>
    <row r="67" spans="1:25" s="877" customFormat="1" ht="33.75" customHeight="1">
      <c r="A67" s="854">
        <f t="shared" si="4"/>
        <v>27</v>
      </c>
      <c r="B67" s="869"/>
      <c r="C67" s="854"/>
      <c r="D67" s="870" t="s">
        <v>1654</v>
      </c>
      <c r="E67" s="871">
        <v>2</v>
      </c>
      <c r="F67" s="880">
        <v>2552</v>
      </c>
      <c r="G67" s="873">
        <f t="shared" si="6"/>
        <v>2552</v>
      </c>
      <c r="H67" s="873">
        <f t="shared" si="7"/>
        <v>5104</v>
      </c>
      <c r="I67" s="873"/>
      <c r="J67" s="873">
        <f t="shared" si="0"/>
        <v>1020.8</v>
      </c>
      <c r="K67" s="873">
        <f t="shared" si="1"/>
        <v>765.6</v>
      </c>
      <c r="L67" s="873">
        <f t="shared" si="2"/>
        <v>1276</v>
      </c>
      <c r="M67" s="873"/>
      <c r="N67" s="873"/>
      <c r="O67" s="873"/>
      <c r="P67" s="873">
        <f t="shared" si="3"/>
        <v>8166.4000000000005</v>
      </c>
      <c r="Q67" s="873"/>
      <c r="R67" s="874">
        <f t="shared" si="8"/>
        <v>13066.240000000002</v>
      </c>
      <c r="S67" s="819"/>
      <c r="T67" s="875">
        <f t="shared" si="9"/>
        <v>13066.240000000002</v>
      </c>
      <c r="U67" s="876">
        <f t="shared" si="10"/>
        <v>6785.7599999999984</v>
      </c>
      <c r="V67" s="861">
        <v>9926</v>
      </c>
      <c r="W67" s="877">
        <f t="shared" si="11"/>
        <v>19852</v>
      </c>
    </row>
    <row r="68" spans="1:25" s="877" customFormat="1" ht="21" customHeight="1">
      <c r="A68" s="854">
        <f t="shared" si="4"/>
        <v>28</v>
      </c>
      <c r="B68" s="869"/>
      <c r="C68" s="854"/>
      <c r="D68" s="870" t="s">
        <v>1655</v>
      </c>
      <c r="E68" s="871">
        <v>4.5999999999999996</v>
      </c>
      <c r="F68" s="880">
        <v>3355</v>
      </c>
      <c r="G68" s="873">
        <f t="shared" si="6"/>
        <v>3355</v>
      </c>
      <c r="H68" s="873">
        <f t="shared" si="7"/>
        <v>15433</v>
      </c>
      <c r="I68" s="873"/>
      <c r="J68" s="873">
        <f t="shared" si="0"/>
        <v>3086.6</v>
      </c>
      <c r="K68" s="873">
        <f t="shared" si="1"/>
        <v>2314.9499999999998</v>
      </c>
      <c r="L68" s="873">
        <f t="shared" si="2"/>
        <v>3858.25</v>
      </c>
      <c r="M68" s="873"/>
      <c r="N68" s="873"/>
      <c r="O68" s="873">
        <f>[4]ночные!F40+[4]празднич!F26</f>
        <v>6194.5599999999995</v>
      </c>
      <c r="P68" s="873">
        <f t="shared" si="3"/>
        <v>30887.360000000001</v>
      </c>
      <c r="Q68" s="873"/>
      <c r="R68" s="874">
        <f t="shared" si="8"/>
        <v>49419.776000000005</v>
      </c>
      <c r="S68" s="819"/>
      <c r="T68" s="875">
        <f t="shared" si="9"/>
        <v>49419.776000000005</v>
      </c>
      <c r="U68" s="876"/>
      <c r="V68" s="861">
        <v>9926</v>
      </c>
      <c r="W68" s="877">
        <f t="shared" si="11"/>
        <v>45659.6</v>
      </c>
    </row>
    <row r="69" spans="1:25" s="877" customFormat="1" ht="50.25" customHeight="1">
      <c r="A69" s="854">
        <f t="shared" si="4"/>
        <v>29</v>
      </c>
      <c r="B69" s="869"/>
      <c r="C69" s="854"/>
      <c r="D69" s="870" t="s">
        <v>1656</v>
      </c>
      <c r="E69" s="871">
        <v>9.5</v>
      </c>
      <c r="F69" s="880">
        <v>2552</v>
      </c>
      <c r="G69" s="873">
        <f t="shared" si="6"/>
        <v>2552</v>
      </c>
      <c r="H69" s="873">
        <f t="shared" si="7"/>
        <v>24244</v>
      </c>
      <c r="I69" s="873"/>
      <c r="J69" s="873">
        <f t="shared" si="0"/>
        <v>4848.8</v>
      </c>
      <c r="K69" s="873">
        <f t="shared" si="1"/>
        <v>3636.6</v>
      </c>
      <c r="L69" s="873">
        <f t="shared" si="2"/>
        <v>6061</v>
      </c>
      <c r="M69" s="873"/>
      <c r="N69" s="873"/>
      <c r="O69" s="873"/>
      <c r="P69" s="873">
        <f t="shared" si="3"/>
        <v>38790.399999999994</v>
      </c>
      <c r="Q69" s="873"/>
      <c r="R69" s="874">
        <f t="shared" si="8"/>
        <v>62064.639999999992</v>
      </c>
      <c r="S69" s="819"/>
      <c r="T69" s="875">
        <f t="shared" si="9"/>
        <v>62064.639999999992</v>
      </c>
      <c r="U69" s="876">
        <f t="shared" si="10"/>
        <v>32232.360000000008</v>
      </c>
      <c r="V69" s="861">
        <v>9926</v>
      </c>
      <c r="W69" s="877">
        <f t="shared" si="11"/>
        <v>94297</v>
      </c>
    </row>
    <row r="70" spans="1:25" s="877" customFormat="1" ht="47.25" customHeight="1">
      <c r="A70" s="854">
        <f t="shared" si="4"/>
        <v>30</v>
      </c>
      <c r="B70" s="869"/>
      <c r="C70" s="879"/>
      <c r="D70" s="870" t="s">
        <v>1657</v>
      </c>
      <c r="E70" s="871">
        <v>1</v>
      </c>
      <c r="F70" s="880">
        <v>3623</v>
      </c>
      <c r="G70" s="873">
        <f t="shared" si="6"/>
        <v>3623</v>
      </c>
      <c r="H70" s="873">
        <f t="shared" si="7"/>
        <v>3623</v>
      </c>
      <c r="I70" s="873"/>
      <c r="J70" s="873">
        <f t="shared" si="0"/>
        <v>724.6</v>
      </c>
      <c r="K70" s="873">
        <f t="shared" si="1"/>
        <v>543.45000000000005</v>
      </c>
      <c r="L70" s="873">
        <f t="shared" si="2"/>
        <v>905.75</v>
      </c>
      <c r="M70" s="873"/>
      <c r="N70" s="873"/>
      <c r="O70" s="873"/>
      <c r="P70" s="873">
        <f t="shared" si="3"/>
        <v>5796.8</v>
      </c>
      <c r="Q70" s="873"/>
      <c r="R70" s="874">
        <f t="shared" si="8"/>
        <v>9274.880000000001</v>
      </c>
      <c r="S70" s="819"/>
      <c r="T70" s="875">
        <f t="shared" si="9"/>
        <v>9274.880000000001</v>
      </c>
      <c r="U70" s="876"/>
      <c r="V70" s="861">
        <v>9926</v>
      </c>
      <c r="W70" s="877">
        <f t="shared" si="11"/>
        <v>9926</v>
      </c>
    </row>
    <row r="71" spans="1:25" s="877" customFormat="1" ht="22.5" customHeight="1">
      <c r="A71" s="854">
        <f t="shared" si="4"/>
        <v>31</v>
      </c>
      <c r="B71" s="869"/>
      <c r="C71" s="854"/>
      <c r="D71" s="870" t="s">
        <v>1658</v>
      </c>
      <c r="E71" s="871">
        <v>2</v>
      </c>
      <c r="F71" s="880">
        <v>4796</v>
      </c>
      <c r="G71" s="873">
        <f t="shared" si="6"/>
        <v>4796</v>
      </c>
      <c r="H71" s="873">
        <f t="shared" si="7"/>
        <v>9592</v>
      </c>
      <c r="I71" s="873"/>
      <c r="J71" s="873">
        <f t="shared" si="0"/>
        <v>1918.4</v>
      </c>
      <c r="K71" s="873">
        <f t="shared" si="1"/>
        <v>1438.8</v>
      </c>
      <c r="L71" s="873">
        <f t="shared" si="2"/>
        <v>2398</v>
      </c>
      <c r="M71" s="873"/>
      <c r="N71" s="873"/>
      <c r="O71" s="873"/>
      <c r="P71" s="873">
        <f t="shared" si="3"/>
        <v>15347.199999999999</v>
      </c>
      <c r="Q71" s="873"/>
      <c r="R71" s="874">
        <f t="shared" si="8"/>
        <v>24555.52</v>
      </c>
      <c r="S71" s="819"/>
      <c r="T71" s="875">
        <f t="shared" si="9"/>
        <v>24555.52</v>
      </c>
      <c r="U71" s="876"/>
      <c r="V71" s="861">
        <v>9926</v>
      </c>
      <c r="W71" s="877">
        <f t="shared" si="11"/>
        <v>19852</v>
      </c>
    </row>
    <row r="72" spans="1:25" s="877" customFormat="1" ht="19.5" customHeight="1">
      <c r="A72" s="854">
        <f t="shared" si="4"/>
        <v>32</v>
      </c>
      <c r="B72" s="869"/>
      <c r="C72" s="854"/>
      <c r="D72" s="870" t="s">
        <v>1659</v>
      </c>
      <c r="E72" s="871">
        <v>2.75</v>
      </c>
      <c r="F72" s="880">
        <v>2552</v>
      </c>
      <c r="G72" s="873">
        <f t="shared" si="6"/>
        <v>2552</v>
      </c>
      <c r="H72" s="873">
        <f t="shared" si="7"/>
        <v>7018</v>
      </c>
      <c r="I72" s="873"/>
      <c r="J72" s="873">
        <f t="shared" si="0"/>
        <v>1403.6</v>
      </c>
      <c r="K72" s="873">
        <f t="shared" si="1"/>
        <v>1052.7</v>
      </c>
      <c r="L72" s="873">
        <f t="shared" si="2"/>
        <v>1754.5</v>
      </c>
      <c r="M72" s="873"/>
      <c r="N72" s="873"/>
      <c r="O72" s="873"/>
      <c r="P72" s="873">
        <f t="shared" si="3"/>
        <v>11228.800000000001</v>
      </c>
      <c r="Q72" s="873"/>
      <c r="R72" s="874">
        <f t="shared" si="8"/>
        <v>17966.080000000002</v>
      </c>
      <c r="S72" s="819"/>
      <c r="T72" s="875">
        <f t="shared" si="9"/>
        <v>17966.080000000002</v>
      </c>
      <c r="U72" s="876">
        <f t="shared" si="10"/>
        <v>9330.4199999999983</v>
      </c>
      <c r="V72" s="861">
        <v>9926</v>
      </c>
      <c r="W72" s="877">
        <f t="shared" si="11"/>
        <v>27296.5</v>
      </c>
    </row>
    <row r="73" spans="1:25" s="877" customFormat="1" ht="22.5" customHeight="1">
      <c r="A73" s="891"/>
      <c r="B73" s="891"/>
      <c r="C73" s="891"/>
      <c r="D73" s="892" t="s">
        <v>183</v>
      </c>
      <c r="E73" s="893">
        <f>SUM(E41:E72)</f>
        <v>77.830000000000013</v>
      </c>
      <c r="F73" s="894"/>
      <c r="G73" s="894">
        <f t="shared" ref="G73:P73" si="12">SUM(G41:G72)</f>
        <v>178599.27000000002</v>
      </c>
      <c r="H73" s="894">
        <f t="shared" si="12"/>
        <v>414550.26999999996</v>
      </c>
      <c r="I73" s="894">
        <f t="shared" si="12"/>
        <v>426.63</v>
      </c>
      <c r="J73" s="894">
        <f t="shared" si="12"/>
        <v>71122.210000000006</v>
      </c>
      <c r="K73" s="894">
        <f t="shared" si="12"/>
        <v>53115.83</v>
      </c>
      <c r="L73" s="894">
        <f t="shared" si="12"/>
        <v>88526.400000000009</v>
      </c>
      <c r="M73" s="894">
        <f t="shared" si="12"/>
        <v>3020.71</v>
      </c>
      <c r="N73" s="894">
        <f t="shared" si="12"/>
        <v>0</v>
      </c>
      <c r="O73" s="894">
        <f t="shared" si="12"/>
        <v>14200.529999999999</v>
      </c>
      <c r="P73" s="894">
        <f t="shared" si="12"/>
        <v>644962.58000000007</v>
      </c>
      <c r="Q73" s="894"/>
      <c r="R73" s="876"/>
      <c r="S73" s="819"/>
      <c r="T73" s="895">
        <f>SUM(T41:T72)</f>
        <v>439859.6650137736</v>
      </c>
      <c r="U73" s="895">
        <f>SUM(U41:U72)</f>
        <v>100217.03199999999</v>
      </c>
      <c r="V73" s="895"/>
      <c r="W73" s="895"/>
      <c r="X73" s="895"/>
      <c r="Y73" s="895"/>
    </row>
    <row r="74" spans="1:25" s="877" customFormat="1" ht="12.75" customHeight="1">
      <c r="A74" s="738"/>
      <c r="B74" s="738"/>
      <c r="C74" s="738"/>
      <c r="D74" s="751"/>
      <c r="E74" s="896"/>
      <c r="F74" s="738"/>
      <c r="G74" s="738"/>
      <c r="H74" s="738"/>
      <c r="I74" s="738"/>
      <c r="J74" s="738"/>
      <c r="K74" s="738"/>
      <c r="L74" s="738"/>
      <c r="M74" s="738"/>
      <c r="N74" s="738"/>
      <c r="O74" s="738"/>
      <c r="P74" s="738"/>
      <c r="Q74" s="738"/>
      <c r="S74" s="819"/>
      <c r="T74" s="890"/>
    </row>
    <row r="75" spans="1:25" s="877" customFormat="1" ht="15" customHeight="1">
      <c r="A75" s="738"/>
      <c r="B75" s="738"/>
      <c r="C75" s="738"/>
      <c r="D75" s="751"/>
      <c r="E75" s="738"/>
      <c r="F75" s="738"/>
      <c r="G75" s="738"/>
      <c r="H75" s="1731"/>
      <c r="I75" s="1731"/>
      <c r="J75" s="1708" t="s">
        <v>1275</v>
      </c>
      <c r="K75" s="1708"/>
      <c r="L75" s="1708"/>
      <c r="M75" s="1708"/>
      <c r="N75" s="1708"/>
      <c r="O75" s="1708"/>
      <c r="P75" s="897"/>
      <c r="Q75" s="897"/>
      <c r="S75" s="822"/>
    </row>
    <row r="76" spans="1:25" s="877" customFormat="1" ht="15" customHeight="1">
      <c r="A76" s="738"/>
      <c r="B76" s="738"/>
      <c r="C76" s="738"/>
      <c r="D76" s="751"/>
      <c r="E76" s="738"/>
      <c r="F76" s="738"/>
      <c r="G76" s="118"/>
      <c r="H76" s="118"/>
      <c r="I76" s="118"/>
      <c r="J76" s="898"/>
      <c r="K76" s="898"/>
      <c r="L76" s="898"/>
      <c r="M76" s="898"/>
      <c r="N76" s="898"/>
      <c r="O76" s="898" t="s">
        <v>1660</v>
      </c>
      <c r="P76" s="897">
        <f>SUM(P45:P54)</f>
        <v>369874.12999999995</v>
      </c>
      <c r="Q76" s="897"/>
      <c r="R76" s="899"/>
      <c r="S76" s="822"/>
    </row>
    <row r="77" spans="1:25" s="877" customFormat="1" ht="15" customHeight="1">
      <c r="A77" s="738"/>
      <c r="B77" s="738"/>
      <c r="C77" s="738"/>
      <c r="D77" s="751"/>
      <c r="E77" s="738"/>
      <c r="F77" s="738"/>
      <c r="G77" s="900"/>
      <c r="H77" s="900"/>
      <c r="L77" s="1705" t="s">
        <v>1661</v>
      </c>
      <c r="M77" s="1705"/>
      <c r="N77" s="1705"/>
      <c r="O77" s="1705"/>
      <c r="P77" s="901">
        <f>ROUND(P76*0.6,2)</f>
        <v>221924.48000000001</v>
      </c>
      <c r="Q77" s="901"/>
      <c r="R77" s="899"/>
      <c r="S77" s="822"/>
    </row>
    <row r="78" spans="1:25" s="877" customFormat="1" ht="15" customHeight="1">
      <c r="A78" s="738"/>
      <c r="B78" s="738"/>
      <c r="C78" s="738"/>
      <c r="D78" s="751"/>
      <c r="E78" s="738"/>
      <c r="F78" s="738"/>
      <c r="G78" s="900"/>
      <c r="H78" s="900"/>
      <c r="I78" s="900"/>
      <c r="J78" s="900"/>
      <c r="K78" s="900"/>
      <c r="L78" s="1712" t="s">
        <v>1280</v>
      </c>
      <c r="M78" s="1712"/>
      <c r="N78" s="1712"/>
      <c r="O78" s="1712"/>
      <c r="P78" s="901">
        <f>ROUND(P77+P76,2)</f>
        <v>591798.61</v>
      </c>
      <c r="Q78" s="901"/>
      <c r="S78" s="902"/>
    </row>
    <row r="79" spans="1:25" s="877" customFormat="1" ht="15" customHeight="1">
      <c r="A79" s="738"/>
      <c r="B79" s="738"/>
      <c r="C79" s="738"/>
      <c r="D79" s="751"/>
      <c r="E79" s="738"/>
      <c r="F79" s="738"/>
      <c r="G79" s="738"/>
      <c r="H79" s="1712" t="s">
        <v>1281</v>
      </c>
      <c r="I79" s="1712"/>
      <c r="J79" s="1712"/>
      <c r="K79" s="1712"/>
      <c r="L79" s="1712"/>
      <c r="M79" s="1712"/>
      <c r="N79" s="1712"/>
      <c r="O79" s="1712"/>
      <c r="P79" s="901">
        <f>ROUND(P78*S79/(100-S79),2)</f>
        <v>211410.65</v>
      </c>
      <c r="Q79" s="901"/>
      <c r="S79" s="902">
        <v>26.320743997171551</v>
      </c>
      <c r="T79" s="823">
        <v>38.833009418382289</v>
      </c>
      <c r="U79" s="903"/>
    </row>
    <row r="80" spans="1:25" s="887" customFormat="1" ht="15" customHeight="1">
      <c r="A80" s="904"/>
      <c r="B80" s="904"/>
      <c r="C80" s="904"/>
      <c r="D80" s="905"/>
      <c r="E80" s="904"/>
      <c r="F80" s="904"/>
      <c r="G80" s="904"/>
      <c r="H80" s="1717" t="s">
        <v>1662</v>
      </c>
      <c r="I80" s="1717"/>
      <c r="J80" s="1717"/>
      <c r="K80" s="1717"/>
      <c r="L80" s="1717"/>
      <c r="M80" s="1717"/>
      <c r="N80" s="1717"/>
      <c r="O80" s="1717"/>
      <c r="P80" s="906">
        <f>ROUND(P78*12,2)</f>
        <v>7101583.3200000003</v>
      </c>
      <c r="Q80" s="906"/>
      <c r="S80" s="824"/>
    </row>
    <row r="81" spans="1:22" s="887" customFormat="1" ht="15" customHeight="1">
      <c r="A81" s="904"/>
      <c r="B81" s="904"/>
      <c r="C81" s="904"/>
      <c r="D81" s="905"/>
      <c r="E81" s="904"/>
      <c r="F81" s="904"/>
      <c r="G81" s="904"/>
      <c r="H81" s="1717" t="s">
        <v>1663</v>
      </c>
      <c r="I81" s="1717"/>
      <c r="J81" s="1717"/>
      <c r="K81" s="1717"/>
      <c r="L81" s="1717"/>
      <c r="M81" s="1717"/>
      <c r="N81" s="1717"/>
      <c r="O81" s="1717"/>
      <c r="P81" s="906">
        <f>ROUND(P79*12,2)</f>
        <v>2536927.7999999998</v>
      </c>
      <c r="Q81" s="906"/>
      <c r="S81" s="824"/>
    </row>
    <row r="82" spans="1:22" s="887" customFormat="1" ht="15" customHeight="1">
      <c r="A82" s="904"/>
      <c r="B82" s="904"/>
      <c r="C82" s="904"/>
      <c r="D82" s="905"/>
      <c r="E82" s="904"/>
      <c r="F82" s="904"/>
      <c r="G82" s="907"/>
      <c r="H82" s="907"/>
      <c r="I82" s="907"/>
      <c r="J82" s="1716" t="s">
        <v>1664</v>
      </c>
      <c r="K82" s="1716"/>
      <c r="L82" s="1716"/>
      <c r="M82" s="1716"/>
      <c r="N82" s="1716"/>
      <c r="O82" s="1716"/>
      <c r="P82" s="906">
        <f>ROUND(P80+P81,2)</f>
        <v>9638511.1199999992</v>
      </c>
      <c r="Q82" s="908"/>
      <c r="S82" s="824"/>
    </row>
    <row r="83" spans="1:22" s="877" customFormat="1" ht="15" hidden="1" customHeight="1">
      <c r="A83" s="738"/>
      <c r="B83" s="738"/>
      <c r="C83" s="738"/>
      <c r="D83" s="751"/>
      <c r="E83" s="738"/>
      <c r="F83" s="738"/>
      <c r="G83" s="738"/>
      <c r="H83" s="1709" t="s">
        <v>242</v>
      </c>
      <c r="I83" s="1709"/>
      <c r="J83" s="1709"/>
      <c r="K83" s="1709"/>
      <c r="L83" s="1709"/>
      <c r="M83" s="1709"/>
      <c r="N83" s="1709"/>
      <c r="O83" s="1709"/>
      <c r="P83" s="909">
        <f>ROUND(1935673.2/4*0,2)</f>
        <v>0</v>
      </c>
      <c r="Q83" s="901"/>
      <c r="S83" s="822"/>
    </row>
    <row r="84" spans="1:22" s="877" customFormat="1" ht="15" hidden="1" customHeight="1">
      <c r="A84" s="738"/>
      <c r="B84" s="738"/>
      <c r="C84" s="738"/>
      <c r="D84" s="751"/>
      <c r="E84" s="738"/>
      <c r="F84" s="738"/>
      <c r="G84" s="738"/>
      <c r="H84" s="1709" t="s">
        <v>243</v>
      </c>
      <c r="I84" s="1709"/>
      <c r="J84" s="1709"/>
      <c r="K84" s="1709"/>
      <c r="L84" s="1709"/>
      <c r="M84" s="1709"/>
      <c r="N84" s="1709"/>
      <c r="O84" s="1709"/>
      <c r="P84" s="909">
        <f>ROUND(805146.4/4*0,2)</f>
        <v>0</v>
      </c>
      <c r="Q84" s="901"/>
      <c r="S84" s="822"/>
    </row>
    <row r="85" spans="1:22" s="877" customFormat="1" ht="15" hidden="1" customHeight="1">
      <c r="A85" s="738"/>
      <c r="B85" s="738"/>
      <c r="C85" s="738"/>
      <c r="D85" s="751"/>
      <c r="E85" s="738"/>
      <c r="F85" s="738"/>
      <c r="G85" s="118"/>
      <c r="H85" s="910"/>
      <c r="I85" s="910"/>
      <c r="J85" s="1721" t="s">
        <v>1665</v>
      </c>
      <c r="K85" s="1721"/>
      <c r="L85" s="1721"/>
      <c r="M85" s="1721"/>
      <c r="N85" s="1721"/>
      <c r="O85" s="1721"/>
      <c r="P85" s="909">
        <f>ROUND(P83+P84,2)</f>
        <v>0</v>
      </c>
      <c r="Q85" s="897"/>
      <c r="S85" s="825">
        <v>22404.78</v>
      </c>
      <c r="T85" s="755">
        <v>211</v>
      </c>
      <c r="U85" s="756" t="s">
        <v>246</v>
      </c>
      <c r="V85" s="741"/>
    </row>
    <row r="86" spans="1:22" s="877" customFormat="1" ht="15" hidden="1" customHeight="1">
      <c r="A86" s="738"/>
      <c r="B86" s="738"/>
      <c r="C86" s="738"/>
      <c r="D86" s="751"/>
      <c r="E86" s="738"/>
      <c r="F86" s="738"/>
      <c r="G86" s="738"/>
      <c r="H86" s="1711" t="s">
        <v>245</v>
      </c>
      <c r="I86" s="1711"/>
      <c r="J86" s="1711"/>
      <c r="K86" s="1711"/>
      <c r="L86" s="1711"/>
      <c r="M86" s="1711"/>
      <c r="N86" s="1711"/>
      <c r="O86" s="1711"/>
      <c r="P86" s="909">
        <f>ROUND(P78*0,2)</f>
        <v>0</v>
      </c>
      <c r="Q86" s="901"/>
      <c r="S86" s="813">
        <v>6766.24</v>
      </c>
      <c r="T86" s="755">
        <v>213</v>
      </c>
      <c r="U86" s="741"/>
      <c r="V86" s="741"/>
    </row>
    <row r="87" spans="1:22" s="877" customFormat="1" ht="15" hidden="1" customHeight="1">
      <c r="A87" s="738"/>
      <c r="B87" s="738"/>
      <c r="C87" s="738"/>
      <c r="D87" s="751"/>
      <c r="E87" s="738"/>
      <c r="F87" s="738"/>
      <c r="G87" s="738"/>
      <c r="H87" s="1712" t="s">
        <v>1666</v>
      </c>
      <c r="I87" s="1712"/>
      <c r="J87" s="1712"/>
      <c r="K87" s="1712"/>
      <c r="L87" s="1712"/>
      <c r="M87" s="1712"/>
      <c r="N87" s="1712"/>
      <c r="O87" s="1712"/>
      <c r="P87" s="909">
        <f>ROUND(P79*0,2)</f>
        <v>0</v>
      </c>
      <c r="Q87" s="901"/>
      <c r="S87" s="822"/>
    </row>
    <row r="88" spans="1:22" s="877" customFormat="1" ht="15" hidden="1" customHeight="1">
      <c r="A88" s="738"/>
      <c r="B88" s="738"/>
      <c r="C88" s="738"/>
      <c r="D88" s="751"/>
      <c r="E88" s="738"/>
      <c r="F88" s="738"/>
      <c r="G88" s="738"/>
      <c r="H88" s="1710" t="s">
        <v>1667</v>
      </c>
      <c r="I88" s="1710"/>
      <c r="J88" s="1710"/>
      <c r="K88" s="1710"/>
      <c r="L88" s="1710"/>
      <c r="M88" s="1710"/>
      <c r="N88" s="1710"/>
      <c r="O88" s="1710"/>
      <c r="P88" s="909">
        <f>ROUND(P86+P87,2)</f>
        <v>0</v>
      </c>
      <c r="Q88" s="897"/>
      <c r="S88" s="822"/>
      <c r="T88" s="911"/>
    </row>
    <row r="89" spans="1:22" s="847" customFormat="1" ht="15.75" customHeight="1">
      <c r="A89" s="738"/>
      <c r="B89" s="738"/>
      <c r="C89" s="738"/>
      <c r="D89" s="751"/>
      <c r="E89" s="738"/>
      <c r="F89" s="738"/>
      <c r="G89" s="738"/>
      <c r="H89" s="1708" t="s">
        <v>1668</v>
      </c>
      <c r="I89" s="1708"/>
      <c r="J89" s="1708"/>
      <c r="K89" s="1708"/>
      <c r="L89" s="1708"/>
      <c r="M89" s="1708"/>
      <c r="N89" s="1708"/>
      <c r="O89" s="1708"/>
      <c r="P89" s="912">
        <f>ROUND(P81+P84+P87,2)</f>
        <v>2536927.7999999998</v>
      </c>
      <c r="Q89" s="912"/>
      <c r="R89" s="822">
        <v>8222458.7999999998</v>
      </c>
      <c r="S89" s="816">
        <f>P90-R89</f>
        <v>1416052.3199999994</v>
      </c>
      <c r="T89" s="913">
        <v>211</v>
      </c>
      <c r="U89" s="847" t="s">
        <v>1669</v>
      </c>
    </row>
    <row r="90" spans="1:22" s="847" customFormat="1" ht="14.25" customHeight="1">
      <c r="A90" s="738"/>
      <c r="B90" s="738"/>
      <c r="C90" s="738"/>
      <c r="D90" s="751"/>
      <c r="E90" s="738"/>
      <c r="F90" s="738"/>
      <c r="G90" s="118"/>
      <c r="H90" s="118"/>
      <c r="I90" s="1714" t="s">
        <v>1283</v>
      </c>
      <c r="J90" s="1714"/>
      <c r="K90" s="1714"/>
      <c r="L90" s="1714"/>
      <c r="M90" s="1714"/>
      <c r="N90" s="1714"/>
      <c r="O90" s="1714"/>
      <c r="P90" s="912">
        <f>ROUND(P82+P85+P88,2)</f>
        <v>9638511.1199999992</v>
      </c>
      <c r="Q90" s="912"/>
      <c r="R90" s="876">
        <f>R89+S85</f>
        <v>8244863.5800000001</v>
      </c>
      <c r="S90" s="816">
        <f>ROUND(S89*30.2%,2)</f>
        <v>427647.8</v>
      </c>
      <c r="T90" s="914">
        <v>213</v>
      </c>
      <c r="U90" s="915"/>
      <c r="V90" s="774"/>
    </row>
    <row r="91" spans="1:22" ht="15.75" customHeight="1">
      <c r="H91" s="1715"/>
      <c r="I91" s="1715"/>
      <c r="J91" s="916"/>
      <c r="K91" s="916"/>
      <c r="L91" s="916"/>
      <c r="M91" s="916"/>
      <c r="N91" s="916"/>
      <c r="O91" s="916"/>
      <c r="P91" s="912"/>
      <c r="Q91" s="912"/>
      <c r="R91" s="775">
        <v>9638511.1199999992</v>
      </c>
      <c r="S91" s="813">
        <f>R91/12/30.03</f>
        <v>26746.895104895102</v>
      </c>
    </row>
    <row r="92" spans="1:22" ht="15.75" customHeight="1">
      <c r="H92" s="1708" t="s">
        <v>1284</v>
      </c>
      <c r="I92" s="1708"/>
      <c r="J92" s="1708"/>
      <c r="K92" s="1708"/>
      <c r="L92" s="1708"/>
      <c r="M92" s="1708"/>
      <c r="N92" s="1708"/>
      <c r="O92" s="1708"/>
      <c r="P92" s="917"/>
      <c r="Q92" s="897"/>
    </row>
    <row r="93" spans="1:22" ht="16.5" customHeight="1">
      <c r="G93" s="119"/>
      <c r="H93" s="119"/>
      <c r="I93" s="119"/>
      <c r="J93" s="898"/>
      <c r="K93" s="898"/>
      <c r="L93" s="898"/>
      <c r="M93" s="898"/>
      <c r="N93" s="898"/>
      <c r="O93" s="898" t="s">
        <v>1660</v>
      </c>
      <c r="P93" s="917">
        <f>ROUND(P55,2)</f>
        <v>2340.94</v>
      </c>
      <c r="Q93" s="897"/>
      <c r="T93" s="741">
        <v>53010.97</v>
      </c>
      <c r="U93" s="774" t="s">
        <v>1670</v>
      </c>
    </row>
    <row r="94" spans="1:22">
      <c r="G94" s="900"/>
      <c r="H94" s="900"/>
      <c r="I94" s="877"/>
      <c r="J94" s="877"/>
      <c r="K94" s="877"/>
      <c r="L94" s="1705" t="s">
        <v>1661</v>
      </c>
      <c r="M94" s="1705"/>
      <c r="N94" s="1705"/>
      <c r="O94" s="1705"/>
      <c r="P94" s="901">
        <f>ROUND(P93*0.6,2)</f>
        <v>1404.56</v>
      </c>
      <c r="Q94" s="901"/>
      <c r="T94" s="741">
        <f>T93*0.25</f>
        <v>13252.7425</v>
      </c>
      <c r="U94" s="918" t="s">
        <v>1671</v>
      </c>
    </row>
    <row r="95" spans="1:22" ht="15.75" customHeight="1">
      <c r="G95" s="900"/>
      <c r="H95" s="900"/>
      <c r="I95" s="900"/>
      <c r="J95" s="900"/>
      <c r="K95" s="900"/>
      <c r="L95" s="1712" t="s">
        <v>1280</v>
      </c>
      <c r="M95" s="1712"/>
      <c r="N95" s="1712"/>
      <c r="O95" s="1712"/>
      <c r="P95" s="901">
        <f>ROUND(P93+P94,2)</f>
        <v>3745.5</v>
      </c>
      <c r="Q95" s="901"/>
      <c r="T95" s="919">
        <f>T94*12</f>
        <v>159032.91</v>
      </c>
    </row>
    <row r="96" spans="1:22" ht="15.75" customHeight="1">
      <c r="H96" s="1712" t="s">
        <v>1281</v>
      </c>
      <c r="I96" s="1712"/>
      <c r="J96" s="1712"/>
      <c r="K96" s="1712"/>
      <c r="L96" s="1712"/>
      <c r="M96" s="1712"/>
      <c r="N96" s="1712"/>
      <c r="O96" s="1712"/>
      <c r="P96" s="901">
        <f>ROUND(P95*S96/(100-S96),2)</f>
        <v>935.29</v>
      </c>
      <c r="Q96" s="901"/>
      <c r="S96" s="902">
        <v>19.981385295955114</v>
      </c>
      <c r="T96" s="741">
        <v>19.98</v>
      </c>
      <c r="U96" s="903" t="s">
        <v>1672</v>
      </c>
    </row>
    <row r="97" spans="7:25" ht="15.75" customHeight="1">
      <c r="H97" s="1712" t="s">
        <v>1662</v>
      </c>
      <c r="I97" s="1712"/>
      <c r="J97" s="1712"/>
      <c r="K97" s="1712"/>
      <c r="L97" s="1712"/>
      <c r="M97" s="1712"/>
      <c r="N97" s="1712"/>
      <c r="O97" s="1712"/>
      <c r="P97" s="901">
        <f>ROUND(P95*12,2)</f>
        <v>44946</v>
      </c>
      <c r="Q97" s="901"/>
    </row>
    <row r="98" spans="7:25" ht="15.75" customHeight="1">
      <c r="H98" s="1712" t="s">
        <v>1663</v>
      </c>
      <c r="I98" s="1712"/>
      <c r="J98" s="1712"/>
      <c r="K98" s="1712"/>
      <c r="L98" s="1712"/>
      <c r="M98" s="1712"/>
      <c r="N98" s="1712"/>
      <c r="O98" s="1712"/>
      <c r="P98" s="901">
        <f>ROUND(P96*12,2)</f>
        <v>11223.48</v>
      </c>
      <c r="Q98" s="901"/>
      <c r="R98" s="920"/>
    </row>
    <row r="99" spans="7:25" ht="15.75" customHeight="1">
      <c r="G99" s="118"/>
      <c r="H99" s="118"/>
      <c r="I99" s="118"/>
      <c r="J99" s="1710" t="s">
        <v>1664</v>
      </c>
      <c r="K99" s="1710"/>
      <c r="L99" s="1710"/>
      <c r="M99" s="1710"/>
      <c r="N99" s="1710"/>
      <c r="O99" s="1710"/>
      <c r="P99" s="897">
        <f>ROUND(P97+P98,2)</f>
        <v>56169.48</v>
      </c>
      <c r="Q99" s="897"/>
      <c r="R99" s="920"/>
    </row>
    <row r="100" spans="7:25" ht="15.75" hidden="1" customHeight="1">
      <c r="H100" s="1712" t="s">
        <v>1673</v>
      </c>
      <c r="I100" s="1712"/>
      <c r="J100" s="1712"/>
      <c r="K100" s="1712"/>
      <c r="L100" s="1712"/>
      <c r="M100" s="1712"/>
      <c r="N100" s="1712"/>
      <c r="O100" s="1712"/>
      <c r="P100" s="901"/>
      <c r="Q100" s="901"/>
    </row>
    <row r="101" spans="7:25" ht="15.75" hidden="1" customHeight="1">
      <c r="H101" s="1712" t="s">
        <v>339</v>
      </c>
      <c r="I101" s="1712"/>
      <c r="J101" s="1712"/>
      <c r="K101" s="1712"/>
      <c r="L101" s="1712"/>
      <c r="M101" s="1712"/>
      <c r="N101" s="1712"/>
      <c r="O101" s="1712"/>
      <c r="P101" s="901"/>
      <c r="Q101" s="901"/>
      <c r="R101" s="920"/>
    </row>
    <row r="102" spans="7:25" ht="15.75" hidden="1" customHeight="1">
      <c r="G102" s="118"/>
      <c r="H102" s="118"/>
      <c r="I102" s="118"/>
      <c r="J102" s="1710" t="s">
        <v>340</v>
      </c>
      <c r="K102" s="1710"/>
      <c r="L102" s="1710"/>
      <c r="M102" s="1710"/>
      <c r="N102" s="1710"/>
      <c r="O102" s="1710"/>
      <c r="P102" s="901"/>
      <c r="Q102" s="897"/>
      <c r="R102" s="920"/>
    </row>
    <row r="103" spans="7:25" ht="15.75" hidden="1" customHeight="1">
      <c r="H103" s="1711" t="s">
        <v>341</v>
      </c>
      <c r="I103" s="1711"/>
      <c r="J103" s="1711"/>
      <c r="K103" s="1711"/>
      <c r="L103" s="1711"/>
      <c r="M103" s="1711"/>
      <c r="N103" s="1711"/>
      <c r="O103" s="1711"/>
      <c r="P103" s="901"/>
      <c r="Q103" s="901"/>
    </row>
    <row r="104" spans="7:25" ht="15.75" hidden="1" customHeight="1">
      <c r="H104" s="1712" t="s">
        <v>342</v>
      </c>
      <c r="I104" s="1712"/>
      <c r="J104" s="1712"/>
      <c r="K104" s="1712"/>
      <c r="L104" s="1712"/>
      <c r="M104" s="1712"/>
      <c r="N104" s="1712"/>
      <c r="O104" s="1712"/>
      <c r="P104" s="901"/>
      <c r="Q104" s="901"/>
      <c r="R104" s="920"/>
    </row>
    <row r="105" spans="7:25" ht="15.75" hidden="1" customHeight="1">
      <c r="H105" s="1710" t="s">
        <v>343</v>
      </c>
      <c r="I105" s="1710"/>
      <c r="J105" s="1710"/>
      <c r="K105" s="1710"/>
      <c r="L105" s="1710"/>
      <c r="M105" s="1710"/>
      <c r="N105" s="1710"/>
      <c r="O105" s="1710"/>
      <c r="P105" s="897"/>
      <c r="Q105" s="897"/>
      <c r="R105" s="920">
        <f>P105/3</f>
        <v>0</v>
      </c>
      <c r="S105" s="822"/>
    </row>
    <row r="106" spans="7:25" ht="15.75" customHeight="1">
      <c r="H106" s="1708" t="s">
        <v>1668</v>
      </c>
      <c r="I106" s="1708"/>
      <c r="J106" s="1708"/>
      <c r="K106" s="1708"/>
      <c r="L106" s="1708"/>
      <c r="M106" s="1708"/>
      <c r="N106" s="1708"/>
      <c r="O106" s="1708"/>
      <c r="P106" s="912">
        <f>ROUND(P98+P101+P104,2)</f>
        <v>11223.48</v>
      </c>
      <c r="Q106" s="912"/>
      <c r="R106" s="741">
        <f>P107/12</f>
        <v>4680.79</v>
      </c>
      <c r="S106" s="816">
        <f>P107-R107</f>
        <v>2157.75</v>
      </c>
      <c r="T106" s="913">
        <v>211</v>
      </c>
      <c r="U106" s="847" t="s">
        <v>344</v>
      </c>
    </row>
    <row r="107" spans="7:25" ht="15.75" customHeight="1">
      <c r="H107" s="1714" t="s">
        <v>1285</v>
      </c>
      <c r="I107" s="1714"/>
      <c r="J107" s="1714"/>
      <c r="K107" s="1714"/>
      <c r="L107" s="1714"/>
      <c r="M107" s="1714"/>
      <c r="N107" s="1714"/>
      <c r="O107" s="1714"/>
      <c r="P107" s="921">
        <f>ROUND(P99+P102+P105,2)</f>
        <v>56169.48</v>
      </c>
      <c r="Q107" s="912"/>
      <c r="R107" s="813">
        <v>54011.73</v>
      </c>
      <c r="S107" s="816">
        <f>ROUND(S106*30.2%,2)</f>
        <v>651.64</v>
      </c>
      <c r="T107" s="914">
        <v>213</v>
      </c>
      <c r="U107" s="915"/>
      <c r="V107" s="774"/>
    </row>
    <row r="108" spans="7:25" ht="19.5" customHeight="1">
      <c r="G108" s="118"/>
      <c r="H108" s="118"/>
      <c r="I108" s="922"/>
      <c r="J108" s="916"/>
      <c r="K108" s="916"/>
      <c r="L108" s="916"/>
      <c r="M108" s="916"/>
      <c r="N108" s="916"/>
      <c r="O108" s="916"/>
      <c r="P108" s="912"/>
      <c r="Q108" s="912"/>
      <c r="R108" s="920"/>
      <c r="V108" s="918"/>
    </row>
    <row r="109" spans="7:25" ht="29.25" customHeight="1">
      <c r="H109" s="1708" t="s">
        <v>1286</v>
      </c>
      <c r="I109" s="1708"/>
      <c r="J109" s="1708"/>
      <c r="K109" s="1708"/>
      <c r="L109" s="1708"/>
      <c r="M109" s="1708"/>
      <c r="N109" s="1708"/>
      <c r="O109" s="1708"/>
      <c r="P109" s="897"/>
      <c r="Q109" s="897"/>
    </row>
    <row r="110" spans="7:25" ht="21.75" customHeight="1">
      <c r="G110" s="119"/>
      <c r="H110" s="119"/>
      <c r="I110" s="119"/>
      <c r="J110" s="898"/>
      <c r="K110" s="898"/>
      <c r="L110" s="898"/>
      <c r="M110" s="898"/>
      <c r="N110" s="898"/>
      <c r="O110" s="898" t="s">
        <v>1660</v>
      </c>
      <c r="P110" s="897">
        <f>ROUND(SUM(P56:P57),2)</f>
        <v>7595.79</v>
      </c>
      <c r="Q110" s="897"/>
      <c r="W110" s="897"/>
      <c r="X110" s="897"/>
      <c r="Y110" s="897"/>
    </row>
    <row r="111" spans="7:25">
      <c r="G111" s="900"/>
      <c r="H111" s="900"/>
      <c r="I111" s="877"/>
      <c r="J111" s="877"/>
      <c r="K111" s="877"/>
      <c r="L111" s="1705" t="s">
        <v>1661</v>
      </c>
      <c r="M111" s="1705"/>
      <c r="N111" s="1705"/>
      <c r="O111" s="1705"/>
      <c r="P111" s="901">
        <f>ROUND(P110*0.6,2)</f>
        <v>4557.47</v>
      </c>
      <c r="Q111" s="901"/>
      <c r="W111" s="901"/>
      <c r="X111" s="901"/>
      <c r="Y111" s="901"/>
    </row>
    <row r="112" spans="7:25" ht="15.75" customHeight="1">
      <c r="G112" s="900"/>
      <c r="H112" s="900"/>
      <c r="I112" s="900"/>
      <c r="J112" s="900"/>
      <c r="K112" s="900"/>
      <c r="L112" s="1712" t="s">
        <v>1280</v>
      </c>
      <c r="M112" s="1712"/>
      <c r="N112" s="1712"/>
      <c r="O112" s="1712"/>
      <c r="P112" s="901">
        <f>ROUND((P110+P111),2)</f>
        <v>12153.26</v>
      </c>
      <c r="Q112" s="901"/>
      <c r="W112" s="901"/>
      <c r="X112" s="901"/>
      <c r="Y112" s="901"/>
    </row>
    <row r="113" spans="1:25">
      <c r="H113" s="1712" t="s">
        <v>1281</v>
      </c>
      <c r="I113" s="1712"/>
      <c r="J113" s="1712"/>
      <c r="K113" s="1712"/>
      <c r="L113" s="1712"/>
      <c r="M113" s="1712"/>
      <c r="N113" s="1712"/>
      <c r="O113" s="1712"/>
      <c r="P113" s="901">
        <f>ROUND(P112*S113/(100-S113),2)</f>
        <v>14342.55</v>
      </c>
      <c r="Q113" s="901"/>
      <c r="S113" s="902">
        <v>54.131393071211818</v>
      </c>
      <c r="T113" s="902">
        <v>15.942383629932252</v>
      </c>
      <c r="U113" s="903" t="s">
        <v>345</v>
      </c>
      <c r="W113" s="901"/>
      <c r="X113" s="901"/>
      <c r="Y113" s="901"/>
    </row>
    <row r="114" spans="1:25" s="923" customFormat="1" ht="15.75" customHeight="1">
      <c r="A114" s="904"/>
      <c r="B114" s="904"/>
      <c r="C114" s="904"/>
      <c r="D114" s="905"/>
      <c r="E114" s="904"/>
      <c r="F114" s="904"/>
      <c r="G114" s="904"/>
      <c r="H114" s="1717" t="s">
        <v>1662</v>
      </c>
      <c r="I114" s="1717"/>
      <c r="J114" s="1717"/>
      <c r="K114" s="1717"/>
      <c r="L114" s="1717"/>
      <c r="M114" s="1717"/>
      <c r="N114" s="1717"/>
      <c r="O114" s="1717"/>
      <c r="P114" s="906">
        <f>ROUND(P112*12,2)</f>
        <v>145839.12</v>
      </c>
      <c r="Q114" s="906"/>
      <c r="S114" s="826"/>
      <c r="W114" s="906"/>
      <c r="X114" s="906"/>
      <c r="Y114" s="906"/>
    </row>
    <row r="115" spans="1:25" s="924" customFormat="1" ht="15.75" customHeight="1">
      <c r="A115" s="904"/>
      <c r="B115" s="904"/>
      <c r="C115" s="904"/>
      <c r="D115" s="905"/>
      <c r="E115" s="904"/>
      <c r="F115" s="904"/>
      <c r="G115" s="904"/>
      <c r="H115" s="1717" t="s">
        <v>1663</v>
      </c>
      <c r="I115" s="1717"/>
      <c r="J115" s="1717"/>
      <c r="K115" s="1717"/>
      <c r="L115" s="1717"/>
      <c r="M115" s="1717"/>
      <c r="N115" s="1717"/>
      <c r="O115" s="1717"/>
      <c r="P115" s="906">
        <f>ROUND(P113*12,2)</f>
        <v>172110.6</v>
      </c>
      <c r="Q115" s="906"/>
      <c r="S115" s="827"/>
      <c r="T115" s="925">
        <f>P124-R124</f>
        <v>151112.39999999997</v>
      </c>
      <c r="U115" s="926">
        <v>211</v>
      </c>
      <c r="V115" s="924" t="s">
        <v>346</v>
      </c>
      <c r="W115" s="906"/>
      <c r="X115" s="906"/>
      <c r="Y115" s="906"/>
    </row>
    <row r="116" spans="1:25" s="924" customFormat="1" ht="14.25" customHeight="1">
      <c r="A116" s="904"/>
      <c r="B116" s="904"/>
      <c r="C116" s="904"/>
      <c r="D116" s="905"/>
      <c r="E116" s="904"/>
      <c r="F116" s="904"/>
      <c r="G116" s="907"/>
      <c r="H116" s="907"/>
      <c r="I116" s="907"/>
      <c r="J116" s="1716" t="s">
        <v>1664</v>
      </c>
      <c r="K116" s="1716"/>
      <c r="L116" s="1716"/>
      <c r="M116" s="1716"/>
      <c r="N116" s="1716"/>
      <c r="O116" s="1716"/>
      <c r="P116" s="908">
        <f>ROUND(P114+P115,2)</f>
        <v>317949.71999999997</v>
      </c>
      <c r="Q116" s="908"/>
      <c r="R116" s="827">
        <f>P124/12/1.25</f>
        <v>21196.647999999997</v>
      </c>
      <c r="S116" s="827"/>
      <c r="T116" s="816">
        <f>ROUND(T115*30.2%,2)</f>
        <v>45635.94</v>
      </c>
      <c r="U116" s="914">
        <v>213</v>
      </c>
      <c r="W116" s="908"/>
      <c r="X116" s="908"/>
      <c r="Y116" s="908"/>
    </row>
    <row r="117" spans="1:25" s="929" customFormat="1" ht="15.75" hidden="1" customHeight="1">
      <c r="A117" s="927"/>
      <c r="B117" s="927"/>
      <c r="C117" s="927"/>
      <c r="D117" s="928"/>
      <c r="E117" s="927"/>
      <c r="F117" s="927"/>
      <c r="G117" s="927"/>
      <c r="H117" s="1709" t="s">
        <v>256</v>
      </c>
      <c r="I117" s="1709"/>
      <c r="J117" s="1709"/>
      <c r="K117" s="1709"/>
      <c r="L117" s="1709"/>
      <c r="M117" s="1709"/>
      <c r="N117" s="1709"/>
      <c r="O117" s="1709"/>
      <c r="P117" s="909">
        <f>ROUND(35059.86/3*0,2)</f>
        <v>0</v>
      </c>
      <c r="Q117" s="909"/>
      <c r="S117" s="828"/>
    </row>
    <row r="118" spans="1:25" s="929" customFormat="1" ht="15.75" hidden="1" customHeight="1">
      <c r="A118" s="927"/>
      <c r="B118" s="927"/>
      <c r="C118" s="927"/>
      <c r="D118" s="928"/>
      <c r="E118" s="927"/>
      <c r="F118" s="927"/>
      <c r="G118" s="927"/>
      <c r="H118" s="1709" t="s">
        <v>257</v>
      </c>
      <c r="I118" s="1709"/>
      <c r="J118" s="1709"/>
      <c r="K118" s="1709"/>
      <c r="L118" s="1709"/>
      <c r="M118" s="1709"/>
      <c r="N118" s="1709"/>
      <c r="O118" s="1709"/>
      <c r="P118" s="909">
        <f>ROUND(22422.58/3*0,2)</f>
        <v>0</v>
      </c>
      <c r="Q118" s="909"/>
      <c r="R118" s="930"/>
      <c r="S118" s="828"/>
    </row>
    <row r="119" spans="1:25" s="929" customFormat="1" ht="15.75" hidden="1" customHeight="1">
      <c r="A119" s="927"/>
      <c r="B119" s="927"/>
      <c r="C119" s="927"/>
      <c r="D119" s="928"/>
      <c r="E119" s="927"/>
      <c r="F119" s="927"/>
      <c r="G119" s="910"/>
      <c r="H119" s="910"/>
      <c r="I119" s="910"/>
      <c r="J119" s="1721" t="s">
        <v>347</v>
      </c>
      <c r="K119" s="1721"/>
      <c r="L119" s="1721"/>
      <c r="M119" s="1721"/>
      <c r="N119" s="1721"/>
      <c r="O119" s="1721"/>
      <c r="P119" s="931">
        <f>ROUND(P117+P118,2)</f>
        <v>0</v>
      </c>
      <c r="Q119" s="931"/>
      <c r="R119" s="930"/>
      <c r="S119" s="828"/>
    </row>
    <row r="120" spans="1:25" ht="15.75" hidden="1" customHeight="1">
      <c r="H120" s="1711" t="s">
        <v>245</v>
      </c>
      <c r="I120" s="1711"/>
      <c r="J120" s="1711"/>
      <c r="K120" s="1711"/>
      <c r="L120" s="1711"/>
      <c r="M120" s="1711"/>
      <c r="N120" s="1711"/>
      <c r="O120" s="1711"/>
      <c r="P120" s="909">
        <f>ROUND(P112*0,2)</f>
        <v>0</v>
      </c>
      <c r="Q120" s="901"/>
      <c r="S120" s="825">
        <v>6303.93</v>
      </c>
      <c r="T120" s="755">
        <v>211</v>
      </c>
      <c r="U120" s="756" t="s">
        <v>246</v>
      </c>
      <c r="W120" s="901"/>
      <c r="X120" s="901"/>
      <c r="Y120" s="901"/>
    </row>
    <row r="121" spans="1:25" ht="15.75" hidden="1" customHeight="1">
      <c r="H121" s="1712" t="s">
        <v>1666</v>
      </c>
      <c r="I121" s="1712"/>
      <c r="J121" s="1712"/>
      <c r="K121" s="1712"/>
      <c r="L121" s="1712"/>
      <c r="M121" s="1712"/>
      <c r="N121" s="1712"/>
      <c r="O121" s="1712"/>
      <c r="P121" s="909">
        <f>ROUND(P113*0,2)</f>
        <v>0</v>
      </c>
      <c r="Q121" s="901"/>
      <c r="S121" s="813">
        <v>1903.78</v>
      </c>
      <c r="T121" s="755">
        <v>213</v>
      </c>
      <c r="W121" s="901"/>
      <c r="X121" s="901"/>
      <c r="Y121" s="901"/>
    </row>
    <row r="122" spans="1:25" ht="15.75" hidden="1" customHeight="1">
      <c r="H122" s="1710" t="s">
        <v>1667</v>
      </c>
      <c r="I122" s="1710"/>
      <c r="J122" s="1710"/>
      <c r="K122" s="1710"/>
      <c r="L122" s="1710"/>
      <c r="M122" s="1710"/>
      <c r="N122" s="1710"/>
      <c r="O122" s="1710"/>
      <c r="P122" s="931">
        <f>ROUND(P120+P121,2)</f>
        <v>0</v>
      </c>
      <c r="Q122" s="897"/>
      <c r="S122" s="822">
        <f>P122/3</f>
        <v>0</v>
      </c>
      <c r="W122" s="897"/>
      <c r="X122" s="897"/>
      <c r="Y122" s="897"/>
    </row>
    <row r="123" spans="1:25" ht="15.75" customHeight="1">
      <c r="H123" s="1708" t="s">
        <v>1668</v>
      </c>
      <c r="I123" s="1708"/>
      <c r="J123" s="1708"/>
      <c r="K123" s="1708"/>
      <c r="L123" s="1708"/>
      <c r="M123" s="1708"/>
      <c r="N123" s="1708"/>
      <c r="O123" s="1708"/>
      <c r="P123" s="912">
        <f>ROUND(P115+P118+P121,2)</f>
        <v>172110.6</v>
      </c>
      <c r="Q123" s="912"/>
      <c r="W123" s="912"/>
      <c r="X123" s="912"/>
      <c r="Y123" s="912"/>
    </row>
    <row r="124" spans="1:25">
      <c r="H124" s="1713" t="s">
        <v>1287</v>
      </c>
      <c r="I124" s="1713"/>
      <c r="J124" s="1713"/>
      <c r="K124" s="1713"/>
      <c r="L124" s="1713"/>
      <c r="M124" s="1713"/>
      <c r="N124" s="1713"/>
      <c r="O124" s="1713"/>
      <c r="P124" s="912">
        <f>ROUND(P116+P119+P122,2)</f>
        <v>317949.71999999997</v>
      </c>
      <c r="Q124" s="912"/>
      <c r="R124" s="813">
        <v>166837.32</v>
      </c>
      <c r="S124" s="825">
        <v>15773.11</v>
      </c>
      <c r="T124" s="755">
        <v>211</v>
      </c>
      <c r="U124" s="756" t="s">
        <v>348</v>
      </c>
      <c r="W124" s="912"/>
      <c r="X124" s="912"/>
      <c r="Y124" s="912"/>
    </row>
    <row r="125" spans="1:25">
      <c r="G125" s="916"/>
      <c r="H125" s="916"/>
      <c r="I125" s="916"/>
      <c r="J125" s="916"/>
      <c r="K125" s="916"/>
      <c r="L125" s="916"/>
      <c r="M125" s="916"/>
      <c r="N125" s="916"/>
      <c r="O125" s="916"/>
      <c r="P125" s="912"/>
      <c r="Q125" s="912"/>
      <c r="R125" s="932">
        <f>R124+S124</f>
        <v>182610.43</v>
      </c>
      <c r="S125" s="813">
        <v>4763.4799999999996</v>
      </c>
      <c r="T125" s="755">
        <v>213</v>
      </c>
      <c r="V125" s="741">
        <v>21196.65</v>
      </c>
      <c r="W125" s="741" t="s">
        <v>1670</v>
      </c>
    </row>
    <row r="126" spans="1:25">
      <c r="G126" s="119"/>
      <c r="H126" s="119"/>
      <c r="I126" s="119"/>
      <c r="J126" s="119"/>
      <c r="K126" s="119"/>
      <c r="L126" s="119"/>
      <c r="M126" s="119"/>
      <c r="N126" s="119"/>
      <c r="O126" s="119"/>
      <c r="P126" s="912"/>
      <c r="Q126" s="912"/>
      <c r="R126" s="932">
        <f>R125+S120</f>
        <v>188914.36</v>
      </c>
      <c r="S126" s="813">
        <f>SUM(S124:S125)</f>
        <v>20536.59</v>
      </c>
      <c r="V126" s="741">
        <f>V125*1.25*12</f>
        <v>317949.75</v>
      </c>
      <c r="W126" s="741" t="s">
        <v>349</v>
      </c>
    </row>
    <row r="127" spans="1:25">
      <c r="G127" s="118"/>
      <c r="H127" s="118"/>
      <c r="I127" s="118"/>
      <c r="J127" s="1706" t="s">
        <v>1290</v>
      </c>
      <c r="K127" s="1706"/>
      <c r="L127" s="1706"/>
      <c r="M127" s="1706"/>
      <c r="N127" s="1706"/>
      <c r="O127" s="1706"/>
      <c r="P127" s="897"/>
      <c r="Q127" s="897"/>
      <c r="S127" s="813">
        <f>166837.32+S124</f>
        <v>182610.43</v>
      </c>
      <c r="T127" s="741" t="s">
        <v>350</v>
      </c>
    </row>
    <row r="128" spans="1:25">
      <c r="G128" s="118"/>
      <c r="H128" s="118"/>
      <c r="I128" s="118"/>
      <c r="J128" s="898"/>
      <c r="K128" s="898"/>
      <c r="L128" s="898"/>
      <c r="M128" s="898"/>
      <c r="N128" s="898"/>
      <c r="O128" s="898" t="s">
        <v>1660</v>
      </c>
      <c r="P128" s="897">
        <f>ROUND((P73-P76-P93-P110),2)</f>
        <v>265151.71999999997</v>
      </c>
      <c r="Q128" s="897"/>
      <c r="T128" s="897"/>
      <c r="U128" s="897"/>
      <c r="V128" s="897"/>
      <c r="W128" s="897"/>
      <c r="X128" s="897"/>
      <c r="Y128" s="897"/>
    </row>
    <row r="129" spans="1:25">
      <c r="G129" s="900"/>
      <c r="H129" s="900"/>
      <c r="I129" s="877"/>
      <c r="J129" s="877"/>
      <c r="K129" s="877"/>
      <c r="L129" s="1705" t="s">
        <v>1661</v>
      </c>
      <c r="M129" s="1705"/>
      <c r="N129" s="1705"/>
      <c r="O129" s="1705"/>
      <c r="P129" s="901">
        <f>ROUND((P73*60%)-(P77+P94+P111),2)</f>
        <v>159091.04</v>
      </c>
      <c r="Q129" s="901"/>
      <c r="T129" s="901"/>
      <c r="U129" s="901"/>
      <c r="V129" s="901"/>
      <c r="W129" s="901"/>
      <c r="X129" s="901"/>
      <c r="Y129" s="901"/>
    </row>
    <row r="130" spans="1:25" ht="15.75" customHeight="1">
      <c r="G130" s="900"/>
      <c r="H130" s="900"/>
      <c r="I130" s="900"/>
      <c r="J130" s="900"/>
      <c r="K130" s="900"/>
      <c r="L130" s="1712" t="s">
        <v>1280</v>
      </c>
      <c r="M130" s="1712"/>
      <c r="N130" s="1712"/>
      <c r="O130" s="1712"/>
      <c r="P130" s="901">
        <f>ROUND((P128+P129),2)</f>
        <v>424242.76</v>
      </c>
      <c r="Q130" s="901"/>
      <c r="R130" s="741">
        <f>P131/P130</f>
        <v>0.43414852854530739</v>
      </c>
      <c r="T130" s="901"/>
      <c r="U130" s="901"/>
      <c r="V130" s="901"/>
      <c r="W130" s="901"/>
      <c r="X130" s="901"/>
      <c r="Y130" s="901"/>
    </row>
    <row r="131" spans="1:25">
      <c r="H131" s="1712" t="s">
        <v>1281</v>
      </c>
      <c r="I131" s="1712"/>
      <c r="J131" s="1712"/>
      <c r="K131" s="1712"/>
      <c r="L131" s="1712"/>
      <c r="M131" s="1712"/>
      <c r="N131" s="1712"/>
      <c r="O131" s="1712"/>
      <c r="P131" s="901">
        <f>ROUND((P130*S131)/(100-S131),2)</f>
        <v>184184.37</v>
      </c>
      <c r="Q131" s="901"/>
      <c r="S131" s="933">
        <v>30.272215746782003</v>
      </c>
      <c r="T131" s="933">
        <v>22.15755273619552</v>
      </c>
      <c r="U131" s="903" t="s">
        <v>351</v>
      </c>
      <c r="V131" s="901"/>
      <c r="W131" s="901"/>
      <c r="X131" s="901"/>
      <c r="Y131" s="901"/>
    </row>
    <row r="132" spans="1:25" s="923" customFormat="1" ht="15.75" customHeight="1">
      <c r="A132" s="904"/>
      <c r="B132" s="904"/>
      <c r="C132" s="904"/>
      <c r="D132" s="905"/>
      <c r="E132" s="904"/>
      <c r="F132" s="904"/>
      <c r="G132" s="904"/>
      <c r="H132" s="1717" t="s">
        <v>1662</v>
      </c>
      <c r="I132" s="1717"/>
      <c r="J132" s="1717"/>
      <c r="K132" s="1717"/>
      <c r="L132" s="1717"/>
      <c r="M132" s="1717"/>
      <c r="N132" s="1717"/>
      <c r="O132" s="1717"/>
      <c r="P132" s="906">
        <f>ROUND(P130*12,2)</f>
        <v>5090913.12</v>
      </c>
      <c r="Q132" s="906"/>
      <c r="S132" s="826"/>
      <c r="T132" s="906"/>
      <c r="U132" s="906"/>
      <c r="V132" s="906"/>
      <c r="W132" s="906"/>
      <c r="X132" s="906"/>
      <c r="Y132" s="906"/>
    </row>
    <row r="133" spans="1:25" s="923" customFormat="1" ht="15.75" customHeight="1">
      <c r="A133" s="904"/>
      <c r="B133" s="904"/>
      <c r="C133" s="904"/>
      <c r="D133" s="905"/>
      <c r="E133" s="904"/>
      <c r="F133" s="904"/>
      <c r="G133" s="904"/>
      <c r="H133" s="1717" t="s">
        <v>1663</v>
      </c>
      <c r="I133" s="1717"/>
      <c r="J133" s="1717"/>
      <c r="K133" s="1717"/>
      <c r="L133" s="1717"/>
      <c r="M133" s="1717"/>
      <c r="N133" s="1717"/>
      <c r="O133" s="1717"/>
      <c r="P133" s="906">
        <f>ROUND(P131*12,2)</f>
        <v>2210212.44</v>
      </c>
      <c r="Q133" s="906"/>
      <c r="R133" s="923" t="s">
        <v>352</v>
      </c>
      <c r="S133" s="826"/>
      <c r="T133" s="906"/>
      <c r="U133" s="906"/>
      <c r="V133" s="906"/>
      <c r="W133" s="906"/>
      <c r="X133" s="906"/>
      <c r="Y133" s="906"/>
    </row>
    <row r="134" spans="1:25" s="923" customFormat="1" ht="15.75" customHeight="1">
      <c r="A134" s="904"/>
      <c r="B134" s="904"/>
      <c r="C134" s="904"/>
      <c r="D134" s="905"/>
      <c r="E134" s="904"/>
      <c r="F134" s="904"/>
      <c r="G134" s="907"/>
      <c r="H134" s="907"/>
      <c r="I134" s="907"/>
      <c r="J134" s="1719" t="s">
        <v>1664</v>
      </c>
      <c r="K134" s="1719"/>
      <c r="L134" s="1719"/>
      <c r="M134" s="1719"/>
      <c r="N134" s="1719"/>
      <c r="O134" s="1719"/>
      <c r="P134" s="934">
        <f>ROUND(P132+P133,2)</f>
        <v>7301125.5599999996</v>
      </c>
      <c r="Q134" s="908"/>
      <c r="R134" s="923">
        <v>273120.24</v>
      </c>
      <c r="S134" s="826"/>
      <c r="T134" s="908"/>
      <c r="U134" s="908"/>
      <c r="V134" s="908"/>
      <c r="W134" s="908"/>
      <c r="X134" s="908"/>
      <c r="Y134" s="908"/>
    </row>
    <row r="135" spans="1:25" ht="15.75" hidden="1" customHeight="1">
      <c r="H135" s="1712" t="s">
        <v>260</v>
      </c>
      <c r="I135" s="1712"/>
      <c r="J135" s="1712"/>
      <c r="K135" s="1712"/>
      <c r="L135" s="1712"/>
      <c r="M135" s="1712"/>
      <c r="N135" s="1712"/>
      <c r="O135" s="1712"/>
      <c r="P135" s="901">
        <f>ROUND(1720486.12/4*0,2)</f>
        <v>0</v>
      </c>
      <c r="Q135" s="901"/>
    </row>
    <row r="136" spans="1:25" ht="15.75" hidden="1" customHeight="1">
      <c r="H136" s="1712" t="s">
        <v>261</v>
      </c>
      <c r="I136" s="1712"/>
      <c r="J136" s="1712"/>
      <c r="K136" s="1712"/>
      <c r="L136" s="1712"/>
      <c r="M136" s="1712"/>
      <c r="N136" s="1712"/>
      <c r="O136" s="1712"/>
      <c r="P136" s="901">
        <f>ROUND(555515.64/4*0,2)</f>
        <v>0</v>
      </c>
      <c r="Q136" s="901"/>
      <c r="R136" s="920"/>
    </row>
    <row r="137" spans="1:25" ht="15.75" hidden="1" customHeight="1">
      <c r="G137" s="118"/>
      <c r="H137" s="118"/>
      <c r="I137" s="118"/>
      <c r="J137" s="1708" t="s">
        <v>353</v>
      </c>
      <c r="K137" s="1708"/>
      <c r="L137" s="1708"/>
      <c r="M137" s="1708"/>
      <c r="N137" s="1708"/>
      <c r="O137" s="1708"/>
      <c r="P137" s="912">
        <f>ROUND(P135+P136,2)</f>
        <v>0</v>
      </c>
      <c r="Q137" s="897"/>
      <c r="R137" s="920"/>
    </row>
    <row r="138" spans="1:25" hidden="1">
      <c r="H138" s="1711" t="s">
        <v>264</v>
      </c>
      <c r="I138" s="1711"/>
      <c r="J138" s="1711"/>
      <c r="K138" s="1711"/>
      <c r="L138" s="1711"/>
      <c r="M138" s="1711"/>
      <c r="N138" s="1711"/>
      <c r="O138" s="1711"/>
      <c r="P138" s="901">
        <f>ROUND(812638.61/2*0,2)</f>
        <v>0</v>
      </c>
      <c r="Q138" s="901"/>
      <c r="T138" s="901"/>
      <c r="U138" s="901"/>
      <c r="V138" s="901"/>
      <c r="W138" s="901"/>
      <c r="X138" s="901"/>
      <c r="Y138" s="901"/>
    </row>
    <row r="139" spans="1:25" ht="15.75" hidden="1" customHeight="1">
      <c r="H139" s="1712" t="s">
        <v>354</v>
      </c>
      <c r="I139" s="1712"/>
      <c r="J139" s="1712"/>
      <c r="K139" s="1712"/>
      <c r="L139" s="1712"/>
      <c r="M139" s="1712"/>
      <c r="N139" s="1712"/>
      <c r="O139" s="1712"/>
      <c r="P139" s="901">
        <f>ROUND(325362.29/2*0,2)</f>
        <v>0</v>
      </c>
      <c r="Q139" s="901"/>
      <c r="T139" s="901"/>
      <c r="U139" s="901"/>
      <c r="V139" s="901"/>
      <c r="W139" s="901"/>
      <c r="X139" s="901"/>
      <c r="Y139" s="901"/>
    </row>
    <row r="140" spans="1:25" ht="15.75" hidden="1" customHeight="1">
      <c r="H140" s="1708" t="s">
        <v>355</v>
      </c>
      <c r="I140" s="1708"/>
      <c r="J140" s="1708"/>
      <c r="K140" s="1708"/>
      <c r="L140" s="1708"/>
      <c r="M140" s="1708"/>
      <c r="N140" s="1708"/>
      <c r="O140" s="1708"/>
      <c r="P140" s="912">
        <f>ROUND(P138+P139,2)</f>
        <v>0</v>
      </c>
      <c r="Q140" s="897"/>
      <c r="S140" s="822"/>
      <c r="T140" s="897"/>
      <c r="U140" s="897"/>
      <c r="V140" s="897"/>
      <c r="W140" s="897"/>
      <c r="X140" s="897"/>
      <c r="Y140" s="897"/>
    </row>
    <row r="141" spans="1:25" s="929" customFormat="1" hidden="1">
      <c r="A141" s="927"/>
      <c r="B141" s="927"/>
      <c r="C141" s="927"/>
      <c r="D141" s="928"/>
      <c r="E141" s="927"/>
      <c r="F141" s="927"/>
      <c r="G141" s="927"/>
      <c r="H141" s="1718" t="s">
        <v>245</v>
      </c>
      <c r="I141" s="1718"/>
      <c r="J141" s="1718"/>
      <c r="K141" s="1718"/>
      <c r="L141" s="1718"/>
      <c r="M141" s="1718"/>
      <c r="N141" s="1718"/>
      <c r="O141" s="1718"/>
      <c r="P141" s="909">
        <f>ROUND(P130*0,2)</f>
        <v>0</v>
      </c>
      <c r="Q141" s="909"/>
      <c r="S141" s="828"/>
      <c r="T141" s="909"/>
      <c r="U141" s="909"/>
      <c r="V141" s="909"/>
      <c r="W141" s="909"/>
      <c r="X141" s="909"/>
      <c r="Y141" s="909"/>
    </row>
    <row r="142" spans="1:25" s="929" customFormat="1" ht="15.75" hidden="1" customHeight="1">
      <c r="A142" s="927"/>
      <c r="B142" s="927"/>
      <c r="C142" s="927"/>
      <c r="D142" s="928"/>
      <c r="E142" s="927"/>
      <c r="F142" s="927"/>
      <c r="G142" s="927"/>
      <c r="H142" s="1709" t="s">
        <v>1666</v>
      </c>
      <c r="I142" s="1709"/>
      <c r="J142" s="1709"/>
      <c r="K142" s="1709"/>
      <c r="L142" s="1709"/>
      <c r="M142" s="1709"/>
      <c r="N142" s="1709"/>
      <c r="O142" s="1709"/>
      <c r="P142" s="909">
        <f>ROUND(P131*0,2)</f>
        <v>0</v>
      </c>
      <c r="Q142" s="909"/>
      <c r="S142" s="828"/>
      <c r="T142" s="909"/>
      <c r="U142" s="909"/>
      <c r="V142" s="909"/>
      <c r="W142" s="909"/>
      <c r="X142" s="909"/>
      <c r="Y142" s="909"/>
    </row>
    <row r="143" spans="1:25" s="929" customFormat="1" ht="15.75" hidden="1" customHeight="1">
      <c r="A143" s="927"/>
      <c r="B143" s="927"/>
      <c r="C143" s="927"/>
      <c r="D143" s="928"/>
      <c r="E143" s="927"/>
      <c r="F143" s="927"/>
      <c r="G143" s="927"/>
      <c r="H143" s="1721" t="s">
        <v>1667</v>
      </c>
      <c r="I143" s="1721"/>
      <c r="J143" s="1721"/>
      <c r="K143" s="1721"/>
      <c r="L143" s="1721"/>
      <c r="M143" s="1721"/>
      <c r="N143" s="1721"/>
      <c r="O143" s="1721"/>
      <c r="P143" s="931">
        <f>ROUND(P141+P142,2)</f>
        <v>0</v>
      </c>
      <c r="Q143" s="931"/>
      <c r="S143" s="829"/>
      <c r="T143" s="931"/>
      <c r="U143" s="931"/>
      <c r="V143" s="931"/>
      <c r="W143" s="931"/>
      <c r="X143" s="931"/>
      <c r="Y143" s="931"/>
    </row>
    <row r="144" spans="1:25">
      <c r="H144" s="1708" t="s">
        <v>1668</v>
      </c>
      <c r="I144" s="1708"/>
      <c r="J144" s="1708"/>
      <c r="K144" s="1708"/>
      <c r="L144" s="1708"/>
      <c r="M144" s="1708"/>
      <c r="N144" s="1708"/>
      <c r="O144" s="1708"/>
      <c r="P144" s="912">
        <f>ROUND(P133+P136+P139+P142,2)</f>
        <v>2210212.44</v>
      </c>
      <c r="Q144" s="912"/>
      <c r="R144" s="932">
        <f>R145+R134</f>
        <v>7101125.6299999999</v>
      </c>
      <c r="S144" s="825">
        <v>172037.15</v>
      </c>
      <c r="T144" s="755">
        <v>211</v>
      </c>
      <c r="U144" s="756" t="s">
        <v>267</v>
      </c>
      <c r="V144" s="774"/>
      <c r="X144" s="912"/>
      <c r="Y144" s="912"/>
    </row>
    <row r="145" spans="1:25">
      <c r="G145" s="118"/>
      <c r="H145" s="118"/>
      <c r="I145" s="922"/>
      <c r="J145" s="1713" t="s">
        <v>1291</v>
      </c>
      <c r="K145" s="1713"/>
      <c r="L145" s="1713"/>
      <c r="M145" s="1713"/>
      <c r="N145" s="1713"/>
      <c r="O145" s="1713"/>
      <c r="P145" s="912">
        <f>ROUND(P134+P137+P140+P143,2)</f>
        <v>7301125.5599999996</v>
      </c>
      <c r="Q145" s="912"/>
      <c r="R145" s="932">
        <v>6828005.3899999997</v>
      </c>
      <c r="S145" s="813">
        <v>51955.22</v>
      </c>
      <c r="T145" s="755">
        <v>213</v>
      </c>
      <c r="X145" s="912"/>
      <c r="Y145" s="912"/>
    </row>
    <row r="146" spans="1:25">
      <c r="G146" s="118"/>
      <c r="H146" s="118"/>
      <c r="I146" s="922"/>
      <c r="J146" s="916"/>
      <c r="K146" s="916"/>
      <c r="L146" s="916"/>
      <c r="M146" s="916"/>
      <c r="N146" s="916"/>
      <c r="O146" s="916"/>
      <c r="P146" s="912"/>
      <c r="Q146" s="912"/>
      <c r="R146" s="932">
        <f>R145+S144</f>
        <v>7000042.54</v>
      </c>
      <c r="S146" s="813">
        <f>SUM(S144:S145)</f>
        <v>223992.37</v>
      </c>
      <c r="U146" s="775"/>
      <c r="V146" s="775"/>
    </row>
    <row r="147" spans="1:25">
      <c r="U147" s="775"/>
      <c r="V147" s="775"/>
    </row>
    <row r="149" spans="1:25">
      <c r="I149" s="1701" t="s">
        <v>356</v>
      </c>
      <c r="J149" s="1701"/>
      <c r="K149" s="1701"/>
      <c r="L149" s="1701"/>
      <c r="M149" s="1701"/>
      <c r="N149" s="1701"/>
      <c r="O149" s="1701"/>
      <c r="P149" s="935">
        <f>P90+P107+P124+P145</f>
        <v>17313755.879999999</v>
      </c>
      <c r="Q149" s="935"/>
      <c r="R149" s="813">
        <f>15271313.27</f>
        <v>15271313.27</v>
      </c>
      <c r="S149" s="825">
        <v>15773.11</v>
      </c>
      <c r="T149" s="755">
        <v>211</v>
      </c>
      <c r="U149" s="756" t="s">
        <v>357</v>
      </c>
      <c r="V149" s="774"/>
    </row>
    <row r="150" spans="1:25">
      <c r="R150" s="932">
        <f>R149+S149+S152+S155</f>
        <v>15487832.24</v>
      </c>
      <c r="S150" s="813">
        <v>4763.4799999999996</v>
      </c>
      <c r="T150" s="755">
        <v>213</v>
      </c>
    </row>
    <row r="151" spans="1:25">
      <c r="P151" s="830"/>
      <c r="Q151" s="830">
        <v>211</v>
      </c>
      <c r="R151" s="932">
        <f>P149-R150</f>
        <v>1825923.6399999987</v>
      </c>
      <c r="S151" s="813">
        <f>SUM(S149:S150)</f>
        <v>20536.59</v>
      </c>
      <c r="V151" s="775"/>
    </row>
    <row r="152" spans="1:25">
      <c r="Q152" s="738">
        <v>213</v>
      </c>
      <c r="R152" s="816">
        <f>ROUND(R151*30.2%,2)</f>
        <v>551428.93999999994</v>
      </c>
      <c r="S152" s="825">
        <v>172037.15</v>
      </c>
      <c r="T152" s="755">
        <v>211</v>
      </c>
      <c r="U152" s="756" t="s">
        <v>267</v>
      </c>
      <c r="V152" s="774"/>
    </row>
    <row r="153" spans="1:25">
      <c r="G153" s="936"/>
      <c r="H153" s="936"/>
      <c r="I153" s="118"/>
      <c r="J153" s="1710"/>
      <c r="K153" s="1710"/>
      <c r="L153" s="1710"/>
      <c r="M153" s="1710"/>
      <c r="N153" s="1710"/>
      <c r="O153" s="1710"/>
      <c r="P153" s="897"/>
      <c r="Q153" s="897"/>
      <c r="R153" s="932">
        <f>SUM(R151:R152)</f>
        <v>2377352.5799999987</v>
      </c>
      <c r="S153" s="813">
        <v>51955.22</v>
      </c>
      <c r="T153" s="755">
        <v>213</v>
      </c>
    </row>
    <row r="154" spans="1:25">
      <c r="A154" s="937" t="s">
        <v>358</v>
      </c>
      <c r="G154" s="938"/>
      <c r="H154" s="938"/>
      <c r="I154" s="938"/>
      <c r="J154" s="939"/>
      <c r="K154" s="939"/>
      <c r="L154" s="939"/>
      <c r="M154" s="940"/>
      <c r="N154" s="940"/>
      <c r="O154" s="834"/>
      <c r="P154" s="941" t="s">
        <v>359</v>
      </c>
      <c r="Q154" s="941"/>
      <c r="R154" s="741" t="s">
        <v>360</v>
      </c>
      <c r="S154" s="813">
        <f>SUM(S152:S153)</f>
        <v>223992.37</v>
      </c>
      <c r="U154" s="775"/>
      <c r="V154" s="775"/>
    </row>
    <row r="155" spans="1:25">
      <c r="A155" s="891"/>
      <c r="B155" s="891"/>
      <c r="C155" s="891"/>
      <c r="D155" s="892"/>
      <c r="E155" s="942"/>
      <c r="F155" s="900"/>
      <c r="G155" s="900"/>
      <c r="H155" s="900"/>
      <c r="I155" s="900"/>
      <c r="J155" s="900"/>
      <c r="K155" s="900"/>
      <c r="L155" s="900"/>
      <c r="M155" s="900"/>
      <c r="N155" s="900"/>
      <c r="O155" s="900"/>
      <c r="P155" s="900"/>
      <c r="Q155" s="900"/>
      <c r="S155" s="825">
        <f>S120+S85</f>
        <v>28708.71</v>
      </c>
      <c r="T155" s="755">
        <v>211</v>
      </c>
      <c r="U155" s="756" t="s">
        <v>246</v>
      </c>
    </row>
    <row r="156" spans="1:25" ht="15.75" customHeight="1">
      <c r="A156" s="1722" t="s">
        <v>361</v>
      </c>
      <c r="B156" s="1722"/>
      <c r="C156" s="1722"/>
      <c r="D156" s="1722"/>
      <c r="E156" s="118"/>
      <c r="F156" s="943"/>
      <c r="G156" s="943"/>
      <c r="H156" s="1713"/>
      <c r="I156" s="1713"/>
      <c r="J156" s="1713"/>
      <c r="K156" s="1713"/>
      <c r="L156" s="1713"/>
      <c r="M156" s="1713"/>
      <c r="N156" s="1713"/>
      <c r="O156" s="1713"/>
      <c r="P156" s="897" t="s">
        <v>1245</v>
      </c>
      <c r="Q156" s="897"/>
      <c r="S156" s="813">
        <f>S121+S86</f>
        <v>8670.02</v>
      </c>
      <c r="T156" s="755">
        <v>213</v>
      </c>
    </row>
    <row r="157" spans="1:25">
      <c r="A157" s="118"/>
      <c r="B157" s="118"/>
      <c r="C157" s="118"/>
      <c r="D157" s="877"/>
      <c r="E157" s="118"/>
      <c r="F157" s="936"/>
      <c r="G157" s="944"/>
      <c r="H157" s="944"/>
      <c r="I157" s="944"/>
      <c r="J157" s="897"/>
      <c r="K157" s="897"/>
      <c r="L157" s="897"/>
      <c r="M157" s="897"/>
      <c r="N157" s="1723"/>
      <c r="O157" s="1723"/>
      <c r="P157" s="897"/>
      <c r="Q157" s="897"/>
      <c r="S157" s="813">
        <f>S155+S156</f>
        <v>37378.729999999996</v>
      </c>
    </row>
    <row r="158" spans="1:25">
      <c r="A158" s="118"/>
      <c r="B158" s="118"/>
      <c r="C158" s="118"/>
      <c r="D158" s="877"/>
      <c r="E158" s="118"/>
      <c r="F158" s="945"/>
      <c r="G158" s="946"/>
      <c r="H158" s="946"/>
      <c r="I158" s="946"/>
      <c r="J158" s="946"/>
      <c r="K158" s="946"/>
      <c r="L158" s="946"/>
      <c r="M158" s="946"/>
      <c r="N158" s="1698"/>
      <c r="O158" s="1698"/>
      <c r="P158" s="897"/>
      <c r="Q158" s="897"/>
    </row>
    <row r="159" spans="1:25">
      <c r="A159" s="118"/>
      <c r="B159" s="118"/>
      <c r="C159" s="936"/>
      <c r="D159" s="877"/>
      <c r="E159" s="118"/>
      <c r="F159" s="118"/>
      <c r="G159" s="118"/>
      <c r="H159" s="1698"/>
      <c r="I159" s="1698"/>
      <c r="J159" s="1698"/>
      <c r="K159" s="1698"/>
      <c r="L159" s="1698"/>
      <c r="M159" s="1698"/>
      <c r="N159" s="1698"/>
      <c r="O159" s="1698"/>
      <c r="P159" s="897"/>
      <c r="Q159" s="897"/>
    </row>
    <row r="160" spans="1:25">
      <c r="A160" s="118"/>
      <c r="B160" s="118"/>
      <c r="C160" s="936"/>
      <c r="D160" s="877"/>
      <c r="E160" s="118"/>
      <c r="F160" s="118"/>
      <c r="G160" s="118"/>
      <c r="H160" s="1698"/>
      <c r="I160" s="1698"/>
      <c r="J160" s="1698"/>
      <c r="K160" s="1698"/>
      <c r="L160" s="1698"/>
      <c r="M160" s="1698"/>
      <c r="N160" s="1698"/>
      <c r="O160" s="1698"/>
      <c r="P160" s="897"/>
      <c r="Q160" s="897"/>
    </row>
    <row r="161" spans="1:17">
      <c r="A161" s="118"/>
      <c r="B161" s="118"/>
      <c r="C161" s="936"/>
      <c r="D161" s="877"/>
      <c r="E161" s="118"/>
      <c r="F161" s="118"/>
      <c r="G161" s="118"/>
      <c r="H161" s="1698"/>
      <c r="I161" s="1698"/>
      <c r="J161" s="1698"/>
      <c r="K161" s="1698"/>
      <c r="L161" s="1698"/>
      <c r="M161" s="1698"/>
      <c r="N161" s="1698"/>
      <c r="O161" s="1698"/>
      <c r="P161" s="897"/>
      <c r="Q161" s="897"/>
    </row>
    <row r="162" spans="1:17">
      <c r="A162" s="118"/>
      <c r="B162" s="118"/>
      <c r="C162" s="936"/>
      <c r="D162" s="877"/>
      <c r="E162" s="118"/>
      <c r="F162" s="118"/>
      <c r="G162" s="118"/>
      <c r="H162" s="1699"/>
      <c r="I162" s="1699"/>
      <c r="J162" s="1699"/>
      <c r="K162" s="1699"/>
      <c r="L162" s="1699"/>
      <c r="M162" s="1699"/>
      <c r="N162" s="1699"/>
      <c r="O162" s="1699"/>
      <c r="P162" s="912"/>
      <c r="Q162" s="912"/>
    </row>
    <row r="163" spans="1:17">
      <c r="A163" s="118"/>
      <c r="B163" s="118"/>
      <c r="C163" s="936"/>
      <c r="D163" s="877"/>
      <c r="E163" s="118"/>
      <c r="F163" s="118"/>
      <c r="G163" s="118"/>
      <c r="H163" s="1698"/>
      <c r="I163" s="1698"/>
      <c r="J163" s="1698"/>
      <c r="K163" s="1698"/>
      <c r="L163" s="1698"/>
      <c r="M163" s="1698"/>
      <c r="N163" s="1698"/>
      <c r="O163" s="1698"/>
      <c r="P163" s="897"/>
      <c r="Q163" s="897"/>
    </row>
    <row r="164" spans="1:17">
      <c r="A164" s="118"/>
      <c r="B164" s="118"/>
      <c r="C164" s="936"/>
      <c r="D164" s="877"/>
      <c r="E164" s="118"/>
      <c r="F164" s="118"/>
      <c r="G164" s="118"/>
      <c r="H164" s="1698"/>
      <c r="I164" s="1698"/>
      <c r="J164" s="1698"/>
      <c r="K164" s="1698"/>
      <c r="L164" s="1698"/>
      <c r="M164" s="1698"/>
      <c r="N164" s="1698"/>
      <c r="O164" s="1698"/>
      <c r="P164" s="897"/>
      <c r="Q164" s="897"/>
    </row>
    <row r="165" spans="1:17">
      <c r="A165" s="118"/>
      <c r="B165" s="118"/>
      <c r="C165" s="936"/>
      <c r="D165" s="877"/>
      <c r="E165" s="118"/>
      <c r="F165" s="118"/>
      <c r="G165" s="118"/>
      <c r="H165" s="1699"/>
      <c r="I165" s="1699"/>
      <c r="J165" s="1699"/>
      <c r="K165" s="1699"/>
      <c r="L165" s="1699"/>
      <c r="M165" s="1699"/>
      <c r="N165" s="1699"/>
      <c r="O165" s="1699"/>
      <c r="P165" s="912"/>
      <c r="Q165" s="912"/>
    </row>
    <row r="166" spans="1:17">
      <c r="A166" s="118"/>
      <c r="B166" s="118"/>
      <c r="C166" s="118"/>
      <c r="D166" s="877"/>
      <c r="E166" s="118"/>
      <c r="F166" s="118"/>
      <c r="G166" s="118"/>
      <c r="H166" s="1698"/>
      <c r="I166" s="1698"/>
      <c r="J166" s="1698"/>
      <c r="K166" s="1698"/>
      <c r="L166" s="1698"/>
      <c r="M166" s="1698"/>
      <c r="N166" s="1698"/>
      <c r="O166" s="1698"/>
      <c r="P166" s="897"/>
      <c r="Q166" s="897"/>
    </row>
    <row r="167" spans="1:17">
      <c r="A167" s="937"/>
      <c r="B167" s="937"/>
      <c r="C167" s="937"/>
      <c r="D167" s="937"/>
      <c r="E167" s="937"/>
      <c r="F167" s="937"/>
      <c r="G167" s="937"/>
      <c r="H167" s="1698"/>
      <c r="I167" s="1698"/>
      <c r="J167" s="1698"/>
      <c r="K167" s="1698"/>
      <c r="L167" s="1698"/>
      <c r="M167" s="1698"/>
      <c r="N167" s="1698"/>
      <c r="O167" s="1698"/>
      <c r="P167" s="897"/>
      <c r="Q167" s="897"/>
    </row>
    <row r="168" spans="1:17">
      <c r="A168" s="947"/>
      <c r="B168" s="947"/>
      <c r="C168" s="947"/>
      <c r="D168" s="947"/>
      <c r="E168" s="947"/>
      <c r="F168" s="947"/>
      <c r="G168" s="947"/>
      <c r="H168" s="1699"/>
      <c r="I168" s="1699"/>
      <c r="J168" s="1699"/>
      <c r="K168" s="1699"/>
      <c r="L168" s="1699"/>
      <c r="M168" s="1699"/>
      <c r="N168" s="1699"/>
      <c r="O168" s="1699"/>
      <c r="P168" s="912"/>
      <c r="Q168" s="912"/>
    </row>
    <row r="169" spans="1:17">
      <c r="H169" s="1700"/>
      <c r="I169" s="1700"/>
      <c r="J169" s="1700"/>
      <c r="K169" s="1700"/>
      <c r="L169" s="1700"/>
      <c r="M169" s="1700"/>
      <c r="N169" s="1700"/>
      <c r="O169" s="1700"/>
      <c r="P169" s="897"/>
      <c r="Q169" s="897"/>
    </row>
    <row r="170" spans="1:17">
      <c r="H170" s="1702"/>
      <c r="I170" s="1702"/>
      <c r="J170" s="1702"/>
      <c r="K170" s="1702"/>
      <c r="L170" s="1702"/>
      <c r="M170" s="1702"/>
      <c r="N170" s="1702"/>
      <c r="O170" s="1702"/>
      <c r="P170" s="912"/>
      <c r="Q170" s="912"/>
    </row>
    <row r="172" spans="1:17">
      <c r="N172" s="1708"/>
      <c r="O172" s="1708"/>
    </row>
    <row r="173" spans="1:17">
      <c r="N173" s="1705"/>
      <c r="O173" s="1705"/>
      <c r="P173" s="897"/>
      <c r="Q173" s="897"/>
    </row>
    <row r="174" spans="1:17">
      <c r="G174" s="946"/>
      <c r="H174" s="946"/>
      <c r="I174" s="946"/>
      <c r="J174" s="946"/>
      <c r="K174" s="946"/>
      <c r="L174" s="946"/>
      <c r="M174" s="946"/>
      <c r="N174" s="1698"/>
      <c r="O174" s="1698"/>
      <c r="P174" s="897"/>
      <c r="Q174" s="897"/>
    </row>
    <row r="175" spans="1:17">
      <c r="H175" s="1698"/>
      <c r="I175" s="1698"/>
      <c r="J175" s="1698"/>
      <c r="K175" s="1698"/>
      <c r="L175" s="1698"/>
      <c r="M175" s="1698"/>
      <c r="N175" s="1698"/>
      <c r="O175" s="1698"/>
      <c r="P175" s="897"/>
      <c r="Q175" s="897"/>
    </row>
    <row r="176" spans="1:17">
      <c r="H176" s="1698"/>
      <c r="I176" s="1698"/>
      <c r="J176" s="1698"/>
      <c r="K176" s="1698"/>
      <c r="L176" s="1698"/>
      <c r="M176" s="1698"/>
      <c r="N176" s="1698"/>
      <c r="O176" s="1698"/>
      <c r="P176" s="897"/>
      <c r="Q176" s="897"/>
    </row>
    <row r="177" spans="1:17">
      <c r="H177" s="1698"/>
      <c r="I177" s="1698"/>
      <c r="J177" s="1698"/>
      <c r="K177" s="1698"/>
      <c r="L177" s="1698"/>
      <c r="M177" s="1698"/>
      <c r="N177" s="1698"/>
      <c r="O177" s="1698"/>
      <c r="P177" s="897"/>
      <c r="Q177" s="897"/>
    </row>
    <row r="178" spans="1:17">
      <c r="H178" s="1699"/>
      <c r="I178" s="1699"/>
      <c r="J178" s="1699"/>
      <c r="K178" s="1699"/>
      <c r="L178" s="1699"/>
      <c r="M178" s="1699"/>
      <c r="N178" s="1699"/>
      <c r="O178" s="1699"/>
      <c r="P178" s="912"/>
      <c r="Q178" s="912"/>
    </row>
    <row r="179" spans="1:17">
      <c r="H179" s="1698"/>
      <c r="I179" s="1698"/>
      <c r="J179" s="1698"/>
      <c r="K179" s="1698"/>
      <c r="L179" s="1698"/>
      <c r="M179" s="1698"/>
      <c r="N179" s="1698"/>
      <c r="O179" s="1698"/>
      <c r="P179" s="897"/>
      <c r="Q179" s="897"/>
    </row>
    <row r="180" spans="1:17">
      <c r="H180" s="1698"/>
      <c r="I180" s="1698"/>
      <c r="J180" s="1698"/>
      <c r="K180" s="1698"/>
      <c r="L180" s="1698"/>
      <c r="M180" s="1698"/>
      <c r="N180" s="1698"/>
      <c r="O180" s="1698"/>
      <c r="P180" s="897"/>
      <c r="Q180" s="897"/>
    </row>
    <row r="181" spans="1:17">
      <c r="H181" s="1699"/>
      <c r="I181" s="1699"/>
      <c r="J181" s="1699"/>
      <c r="K181" s="1699"/>
      <c r="L181" s="1699"/>
      <c r="M181" s="1699"/>
      <c r="N181" s="1699"/>
      <c r="O181" s="1699"/>
      <c r="P181" s="912"/>
      <c r="Q181" s="912"/>
    </row>
    <row r="182" spans="1:17">
      <c r="H182" s="1698"/>
      <c r="I182" s="1698"/>
      <c r="J182" s="1698"/>
      <c r="K182" s="1698"/>
      <c r="L182" s="1698"/>
      <c r="M182" s="1698"/>
      <c r="N182" s="1698"/>
      <c r="O182" s="1698"/>
      <c r="P182" s="897"/>
      <c r="Q182" s="897"/>
    </row>
    <row r="183" spans="1:17">
      <c r="H183" s="1698"/>
      <c r="I183" s="1698"/>
      <c r="J183" s="1698"/>
      <c r="K183" s="1698"/>
      <c r="L183" s="1698"/>
      <c r="M183" s="1698"/>
      <c r="N183" s="1698"/>
      <c r="O183" s="1698"/>
      <c r="P183" s="897"/>
      <c r="Q183" s="897"/>
    </row>
    <row r="184" spans="1:17">
      <c r="H184" s="1699"/>
      <c r="I184" s="1699"/>
      <c r="J184" s="1699"/>
      <c r="K184" s="1699"/>
      <c r="L184" s="1699"/>
      <c r="M184" s="1699"/>
      <c r="N184" s="1699"/>
      <c r="O184" s="1699"/>
      <c r="P184" s="912"/>
      <c r="Q184" s="912"/>
    </row>
    <row r="185" spans="1:17">
      <c r="H185" s="1700"/>
      <c r="I185" s="1700"/>
      <c r="J185" s="1700"/>
      <c r="K185" s="1700"/>
      <c r="L185" s="1700"/>
      <c r="M185" s="1700"/>
      <c r="N185" s="1700"/>
      <c r="O185" s="1700"/>
      <c r="P185" s="897"/>
      <c r="Q185" s="897"/>
    </row>
    <row r="186" spans="1:17">
      <c r="F186" s="1701"/>
      <c r="G186" s="1701"/>
      <c r="H186" s="1701"/>
      <c r="I186" s="1701"/>
      <c r="J186" s="1701"/>
      <c r="K186" s="1701"/>
      <c r="L186" s="1701"/>
      <c r="M186" s="1701"/>
      <c r="N186" s="1701"/>
      <c r="O186" s="1701"/>
      <c r="P186" s="912"/>
      <c r="Q186" s="912"/>
    </row>
    <row r="187" spans="1:17">
      <c r="H187" s="1702"/>
      <c r="I187" s="1702"/>
      <c r="J187" s="1702"/>
      <c r="K187" s="1702"/>
      <c r="L187" s="1702"/>
      <c r="M187" s="1702"/>
      <c r="N187" s="1702"/>
      <c r="O187" s="1702"/>
      <c r="P187" s="912"/>
      <c r="Q187" s="912"/>
    </row>
    <row r="189" spans="1:17">
      <c r="H189" s="1707"/>
      <c r="I189" s="1707"/>
      <c r="J189" s="1707"/>
      <c r="K189" s="1707"/>
      <c r="L189" s="1707"/>
      <c r="M189" s="1707"/>
      <c r="N189" s="1707"/>
      <c r="O189" s="1707"/>
      <c r="P189" s="948"/>
      <c r="Q189" s="948"/>
    </row>
    <row r="190" spans="1:17">
      <c r="A190" s="937"/>
      <c r="B190" s="937"/>
      <c r="C190" s="937"/>
      <c r="D190" s="937"/>
      <c r="E190" s="937"/>
      <c r="F190" s="949"/>
      <c r="G190" s="950"/>
      <c r="H190" s="950"/>
      <c r="I190" s="947"/>
      <c r="J190" s="835"/>
      <c r="K190" s="835"/>
      <c r="L190" s="835"/>
      <c r="M190" s="835"/>
      <c r="N190" s="835"/>
      <c r="O190" s="1706"/>
      <c r="P190" s="1706"/>
      <c r="Q190" s="941"/>
    </row>
    <row r="191" spans="1:17">
      <c r="A191" s="1704"/>
      <c r="B191" s="1704"/>
      <c r="C191" s="1704"/>
      <c r="D191" s="1704"/>
      <c r="E191" s="1704"/>
      <c r="F191" s="1704"/>
      <c r="G191" s="1704"/>
      <c r="H191" s="1704"/>
      <c r="I191" s="834"/>
      <c r="J191" s="834"/>
      <c r="K191" s="834"/>
      <c r="L191" s="834"/>
      <c r="M191" s="834"/>
      <c r="N191" s="834"/>
      <c r="O191" s="834"/>
      <c r="P191" s="834"/>
      <c r="Q191" s="834"/>
    </row>
    <row r="192" spans="1:17">
      <c r="J192" s="766"/>
      <c r="K192" s="766"/>
      <c r="L192" s="766"/>
      <c r="M192" s="766"/>
      <c r="N192" s="1703"/>
      <c r="O192" s="1703"/>
      <c r="P192" s="766"/>
      <c r="Q192" s="766"/>
    </row>
    <row r="193" spans="7:17">
      <c r="G193" s="766"/>
      <c r="H193" s="766"/>
      <c r="J193" s="766"/>
      <c r="K193" s="766"/>
      <c r="L193" s="766"/>
      <c r="M193" s="766"/>
      <c r="N193" s="1703"/>
      <c r="O193" s="1703"/>
      <c r="P193" s="766"/>
      <c r="Q193" s="766"/>
    </row>
    <row r="194" spans="7:17">
      <c r="J194" s="766"/>
      <c r="K194" s="766"/>
      <c r="L194" s="766"/>
      <c r="M194" s="766"/>
      <c r="N194" s="1697"/>
      <c r="O194" s="1697"/>
      <c r="P194" s="951"/>
      <c r="Q194" s="951"/>
    </row>
    <row r="195" spans="7:17">
      <c r="P195" s="766"/>
      <c r="Q195" s="766"/>
    </row>
  </sheetData>
  <mergeCells count="133">
    <mergeCell ref="O22:P22"/>
    <mergeCell ref="A38:A39"/>
    <mergeCell ref="B38:C38"/>
    <mergeCell ref="G38:G39"/>
    <mergeCell ref="A20:D21"/>
    <mergeCell ref="A23:E23"/>
    <mergeCell ref="A25:F25"/>
    <mergeCell ref="A26:D26"/>
    <mergeCell ref="Q38:Q39"/>
    <mergeCell ref="A27:D27"/>
    <mergeCell ref="D38:D39"/>
    <mergeCell ref="I38:O38"/>
    <mergeCell ref="A33:D33"/>
    <mergeCell ref="E38:E39"/>
    <mergeCell ref="F38:F39"/>
    <mergeCell ref="J28:O28"/>
    <mergeCell ref="A29:N31"/>
    <mergeCell ref="H89:O89"/>
    <mergeCell ref="H80:O80"/>
    <mergeCell ref="H79:O79"/>
    <mergeCell ref="H81:O81"/>
    <mergeCell ref="H86:O86"/>
    <mergeCell ref="H84:O84"/>
    <mergeCell ref="H83:O83"/>
    <mergeCell ref="J85:O85"/>
    <mergeCell ref="L78:O78"/>
    <mergeCell ref="A37:P37"/>
    <mergeCell ref="H38:H39"/>
    <mergeCell ref="P38:P39"/>
    <mergeCell ref="J75:O75"/>
    <mergeCell ref="H75:I75"/>
    <mergeCell ref="P1:Q1"/>
    <mergeCell ref="A10:N10"/>
    <mergeCell ref="N17:P17"/>
    <mergeCell ref="N18:P18"/>
    <mergeCell ref="I11:J11"/>
    <mergeCell ref="O11:P11"/>
    <mergeCell ref="H105:O105"/>
    <mergeCell ref="H164:O164"/>
    <mergeCell ref="N157:O157"/>
    <mergeCell ref="H159:O159"/>
    <mergeCell ref="H160:O160"/>
    <mergeCell ref="H162:O162"/>
    <mergeCell ref="H163:O163"/>
    <mergeCell ref="N158:O158"/>
    <mergeCell ref="L95:O95"/>
    <mergeCell ref="H103:O103"/>
    <mergeCell ref="J119:O119"/>
    <mergeCell ref="H120:O120"/>
    <mergeCell ref="A156:D156"/>
    <mergeCell ref="H156:O156"/>
    <mergeCell ref="H142:O142"/>
    <mergeCell ref="H143:O143"/>
    <mergeCell ref="J153:O153"/>
    <mergeCell ref="I149:O149"/>
    <mergeCell ref="H101:O101"/>
    <mergeCell ref="L94:O94"/>
    <mergeCell ref="J82:O82"/>
    <mergeCell ref="A2:N2"/>
    <mergeCell ref="H140:O140"/>
    <mergeCell ref="J134:O134"/>
    <mergeCell ref="H135:O135"/>
    <mergeCell ref="H132:O132"/>
    <mergeCell ref="L130:O130"/>
    <mergeCell ref="O35:P35"/>
    <mergeCell ref="H139:O139"/>
    <mergeCell ref="H92:O92"/>
    <mergeCell ref="I90:O90"/>
    <mergeCell ref="L77:O77"/>
    <mergeCell ref="H87:O87"/>
    <mergeCell ref="H88:O88"/>
    <mergeCell ref="J99:O99"/>
    <mergeCell ref="H100:O100"/>
    <mergeCell ref="J102:O102"/>
    <mergeCell ref="H96:O96"/>
    <mergeCell ref="H98:O98"/>
    <mergeCell ref="J145:O145"/>
    <mergeCell ref="H161:O161"/>
    <mergeCell ref="J137:O137"/>
    <mergeCell ref="H115:O115"/>
    <mergeCell ref="H136:O136"/>
    <mergeCell ref="H133:O133"/>
    <mergeCell ref="H141:O141"/>
    <mergeCell ref="H144:O144"/>
    <mergeCell ref="H123:O123"/>
    <mergeCell ref="L129:O129"/>
    <mergeCell ref="H107:O107"/>
    <mergeCell ref="H91:I91"/>
    <mergeCell ref="H97:O97"/>
    <mergeCell ref="H121:O121"/>
    <mergeCell ref="H113:O113"/>
    <mergeCell ref="J116:O116"/>
    <mergeCell ref="H114:O114"/>
    <mergeCell ref="H104:O104"/>
    <mergeCell ref="H109:O109"/>
    <mergeCell ref="H106:O106"/>
    <mergeCell ref="H118:O118"/>
    <mergeCell ref="H117:O117"/>
    <mergeCell ref="H122:O122"/>
    <mergeCell ref="J127:O127"/>
    <mergeCell ref="H138:O138"/>
    <mergeCell ref="H131:O131"/>
    <mergeCell ref="L111:O111"/>
    <mergeCell ref="L112:O112"/>
    <mergeCell ref="H124:O124"/>
    <mergeCell ref="H165:O165"/>
    <mergeCell ref="H166:O166"/>
    <mergeCell ref="O190:P190"/>
    <mergeCell ref="H179:O179"/>
    <mergeCell ref="H189:O189"/>
    <mergeCell ref="N174:O174"/>
    <mergeCell ref="H175:O175"/>
    <mergeCell ref="H169:O169"/>
    <mergeCell ref="N172:O172"/>
    <mergeCell ref="H180:O180"/>
    <mergeCell ref="H181:O181"/>
    <mergeCell ref="N173:O173"/>
    <mergeCell ref="H168:O168"/>
    <mergeCell ref="H167:O167"/>
    <mergeCell ref="H176:O176"/>
    <mergeCell ref="H177:O177"/>
    <mergeCell ref="H178:O178"/>
    <mergeCell ref="H170:O170"/>
    <mergeCell ref="N194:O194"/>
    <mergeCell ref="H182:O182"/>
    <mergeCell ref="H183:O183"/>
    <mergeCell ref="H184:O184"/>
    <mergeCell ref="H185:O185"/>
    <mergeCell ref="F186:O186"/>
    <mergeCell ref="H187:O187"/>
    <mergeCell ref="N192:O192"/>
    <mergeCell ref="N193:O193"/>
    <mergeCell ref="A191:H191"/>
  </mergeCells>
  <phoneticPr fontId="116" type="noConversion"/>
  <pageMargins left="0.19685039370078741" right="0.19685039370078741" top="0.31496062992125984" bottom="0.19685039370078741" header="0.31496062992125984" footer="0.19685039370078741"/>
  <pageSetup paperSize="9" scale="69" fitToHeight="7" orientation="landscape" r:id="rId1"/>
  <legacyDrawing r:id="rId2"/>
</worksheet>
</file>

<file path=xl/worksheets/sheet16.xml><?xml version="1.0" encoding="utf-8"?>
<worksheet xmlns="http://schemas.openxmlformats.org/spreadsheetml/2006/main" xmlns:r="http://schemas.openxmlformats.org/officeDocument/2006/relationships">
  <sheetPr>
    <tabColor indexed="33"/>
  </sheetPr>
  <dimension ref="A1:X67"/>
  <sheetViews>
    <sheetView view="pageBreakPreview" topLeftCell="A47" zoomScale="96" zoomScaleNormal="100" zoomScaleSheetLayoutView="96" workbookViewId="0">
      <selection activeCell="K61" sqref="K61"/>
    </sheetView>
  </sheetViews>
  <sheetFormatPr defaultRowHeight="12.75"/>
  <cols>
    <col min="1" max="1" width="9.140625" style="964"/>
    <col min="2" max="2" width="10.42578125" style="964" customWidth="1"/>
    <col min="3" max="5" width="9.140625" style="964"/>
    <col min="6" max="6" width="9.5703125" style="964" bestFit="1" customWidth="1"/>
    <col min="7" max="9" width="9.140625" style="964"/>
    <col min="10" max="10" width="10.28515625" style="964" customWidth="1"/>
    <col min="11" max="16384" width="9.140625" style="964"/>
  </cols>
  <sheetData>
    <row r="1" spans="1:24" s="952" customFormat="1" ht="19.5" customHeight="1">
      <c r="A1" s="1746" t="s">
        <v>362</v>
      </c>
      <c r="B1" s="1746"/>
      <c r="C1" s="1746"/>
      <c r="D1" s="1746"/>
      <c r="E1" s="1746"/>
      <c r="F1" s="1746"/>
      <c r="G1" s="1746"/>
      <c r="H1" s="1746"/>
      <c r="I1" s="1746"/>
    </row>
    <row r="2" spans="1:24" s="952" customFormat="1" ht="15.75">
      <c r="A2" s="1746"/>
      <c r="B2" s="1746"/>
      <c r="C2" s="1746"/>
      <c r="D2" s="1746"/>
      <c r="E2" s="1746"/>
      <c r="F2" s="1746"/>
      <c r="G2" s="1746"/>
      <c r="H2" s="1746"/>
      <c r="I2" s="1746"/>
    </row>
    <row r="3" spans="1:24" s="954" customFormat="1" ht="15.75">
      <c r="A3" s="953"/>
      <c r="B3" s="953"/>
      <c r="C3" s="953"/>
      <c r="D3" s="953"/>
      <c r="E3" s="953"/>
      <c r="F3" s="953"/>
      <c r="G3" s="953"/>
      <c r="H3" s="953"/>
      <c r="I3" s="953"/>
    </row>
    <row r="4" spans="1:24" s="955" customFormat="1" ht="12" customHeight="1">
      <c r="A4" s="953" t="s">
        <v>363</v>
      </c>
      <c r="B4" s="953"/>
      <c r="C4" s="953"/>
      <c r="D4" s="953"/>
      <c r="E4" s="953"/>
      <c r="F4" s="953"/>
      <c r="G4" s="953"/>
      <c r="H4" s="953"/>
      <c r="I4" s="953"/>
      <c r="J4" s="953"/>
      <c r="K4" s="953"/>
      <c r="L4" s="953"/>
      <c r="M4" s="953"/>
      <c r="N4" s="953"/>
      <c r="O4" s="953"/>
      <c r="P4" s="953"/>
      <c r="Q4" s="953"/>
      <c r="R4" s="953"/>
      <c r="S4" s="953"/>
      <c r="T4" s="953"/>
      <c r="U4" s="953"/>
      <c r="V4" s="953"/>
    </row>
    <row r="5" spans="1:24" s="955" customFormat="1" ht="12" customHeight="1">
      <c r="A5" s="953" t="s">
        <v>364</v>
      </c>
      <c r="B5" s="953"/>
      <c r="C5" s="953"/>
      <c r="D5" s="953"/>
      <c r="E5" s="953"/>
      <c r="F5" s="953"/>
      <c r="G5" s="953"/>
      <c r="H5" s="953"/>
      <c r="I5" s="953"/>
      <c r="J5" s="953"/>
      <c r="K5" s="953"/>
      <c r="L5" s="953"/>
      <c r="M5" s="953"/>
      <c r="N5" s="953"/>
      <c r="O5" s="953"/>
      <c r="P5" s="953"/>
      <c r="Q5" s="953"/>
      <c r="R5" s="956"/>
      <c r="S5" s="953"/>
      <c r="T5" s="953"/>
      <c r="U5" s="953"/>
      <c r="V5" s="953"/>
    </row>
    <row r="6" spans="1:24" s="955" customFormat="1" ht="12" customHeight="1">
      <c r="A6" s="956" t="s">
        <v>365</v>
      </c>
      <c r="B6" s="957"/>
      <c r="C6" s="956"/>
      <c r="D6" s="956"/>
      <c r="E6" s="956"/>
      <c r="F6" s="956"/>
      <c r="G6" s="956"/>
      <c r="H6" s="953"/>
      <c r="I6" s="953"/>
      <c r="J6" s="953"/>
      <c r="K6" s="953"/>
      <c r="L6" s="953"/>
      <c r="M6" s="953"/>
      <c r="N6" s="953"/>
      <c r="O6" s="953"/>
      <c r="P6" s="953"/>
      <c r="Q6" s="953"/>
      <c r="R6" s="956"/>
      <c r="S6" s="953"/>
      <c r="T6" s="953"/>
      <c r="U6" s="953"/>
      <c r="V6" s="953"/>
    </row>
    <row r="7" spans="1:24" s="955" customFormat="1" ht="12" customHeight="1">
      <c r="A7" s="953" t="s">
        <v>366</v>
      </c>
      <c r="B7" s="953"/>
      <c r="C7" s="953"/>
      <c r="D7" s="953"/>
      <c r="E7" s="953"/>
      <c r="F7" s="953"/>
      <c r="G7" s="953"/>
      <c r="H7" s="953"/>
      <c r="I7" s="953"/>
      <c r="J7" s="953"/>
      <c r="K7" s="953"/>
      <c r="L7" s="953"/>
      <c r="M7" s="953"/>
      <c r="N7" s="953"/>
      <c r="O7" s="953"/>
      <c r="P7" s="953"/>
      <c r="Q7" s="953"/>
      <c r="R7" s="956"/>
      <c r="S7" s="953"/>
      <c r="T7" s="953"/>
      <c r="U7" s="953"/>
      <c r="V7" s="953"/>
    </row>
    <row r="8" spans="1:24" s="955" customFormat="1" ht="12" customHeight="1">
      <c r="A8" s="953" t="s">
        <v>367</v>
      </c>
      <c r="B8" s="957"/>
      <c r="C8" s="953"/>
      <c r="D8" s="953"/>
      <c r="E8" s="953"/>
      <c r="F8" s="953"/>
      <c r="G8" s="953"/>
      <c r="H8" s="953"/>
      <c r="I8" s="953"/>
      <c r="J8" s="953"/>
      <c r="K8" s="953"/>
      <c r="L8" s="953"/>
      <c r="M8" s="953"/>
      <c r="N8" s="953"/>
      <c r="O8" s="953"/>
      <c r="P8" s="953"/>
      <c r="Q8" s="953"/>
      <c r="R8" s="956"/>
      <c r="S8" s="953"/>
      <c r="T8" s="953"/>
      <c r="U8" s="953"/>
      <c r="V8" s="953"/>
    </row>
    <row r="9" spans="1:24" s="955" customFormat="1" ht="12" customHeight="1">
      <c r="A9" s="958" t="s">
        <v>368</v>
      </c>
      <c r="B9" s="958"/>
      <c r="C9" s="958"/>
      <c r="D9" s="958"/>
      <c r="E9" s="958"/>
      <c r="F9" s="958"/>
      <c r="G9" s="958"/>
      <c r="H9" s="958"/>
      <c r="I9" s="958"/>
      <c r="J9" s="958"/>
      <c r="K9" s="958"/>
      <c r="L9" s="953"/>
      <c r="M9" s="953"/>
      <c r="N9" s="953"/>
      <c r="O9" s="953"/>
      <c r="P9" s="953"/>
      <c r="Q9" s="953"/>
      <c r="R9" s="956"/>
      <c r="S9" s="953"/>
      <c r="T9" s="953"/>
      <c r="U9" s="953"/>
      <c r="V9" s="953"/>
    </row>
    <row r="10" spans="1:24" s="955" customFormat="1" ht="12" customHeight="1">
      <c r="A10" s="958" t="s">
        <v>369</v>
      </c>
      <c r="B10" s="957"/>
      <c r="C10" s="958"/>
      <c r="D10" s="958"/>
      <c r="E10" s="958"/>
      <c r="F10" s="958"/>
      <c r="G10" s="958"/>
      <c r="H10" s="958"/>
      <c r="I10" s="958"/>
      <c r="J10" s="958"/>
      <c r="K10" s="958"/>
      <c r="L10" s="953"/>
      <c r="M10" s="953"/>
      <c r="N10" s="953"/>
      <c r="O10" s="953"/>
      <c r="P10" s="953"/>
      <c r="Q10" s="953"/>
      <c r="R10" s="956"/>
      <c r="S10" s="953"/>
      <c r="T10" s="953"/>
      <c r="U10" s="953"/>
      <c r="V10" s="953"/>
    </row>
    <row r="11" spans="1:24" s="955" customFormat="1" ht="12" customHeight="1">
      <c r="A11" s="959" t="s">
        <v>370</v>
      </c>
      <c r="B11" s="959"/>
      <c r="C11" s="959"/>
      <c r="D11" s="959"/>
      <c r="E11" s="959"/>
      <c r="F11" s="959"/>
      <c r="G11" s="959"/>
      <c r="H11" s="959"/>
      <c r="I11" s="959"/>
      <c r="J11" s="959"/>
      <c r="K11" s="959"/>
      <c r="L11" s="960" t="s">
        <v>371</v>
      </c>
      <c r="M11" s="961"/>
      <c r="N11" s="959"/>
      <c r="O11" s="953"/>
      <c r="P11" s="953"/>
      <c r="Q11" s="953"/>
      <c r="R11" s="956"/>
      <c r="S11" s="953"/>
      <c r="T11" s="953"/>
      <c r="U11" s="953"/>
      <c r="V11" s="953"/>
    </row>
    <row r="12" spans="1:24" s="955" customFormat="1" ht="12" customHeight="1">
      <c r="A12" s="959" t="s">
        <v>372</v>
      </c>
      <c r="B12" s="959"/>
      <c r="C12" s="959"/>
      <c r="D12" s="959"/>
      <c r="E12" s="959"/>
      <c r="F12" s="959"/>
      <c r="G12" s="959"/>
      <c r="H12" s="959"/>
      <c r="I12" s="959"/>
      <c r="J12" s="959"/>
      <c r="K12" s="959"/>
      <c r="L12" s="962" t="s">
        <v>373</v>
      </c>
      <c r="M12" s="963"/>
      <c r="N12" s="953"/>
      <c r="O12" s="953"/>
      <c r="P12" s="953"/>
      <c r="Q12" s="953"/>
      <c r="R12" s="956"/>
      <c r="S12" s="953"/>
      <c r="T12" s="953"/>
      <c r="U12" s="953"/>
      <c r="V12" s="953"/>
    </row>
    <row r="13" spans="1:24" s="955" customFormat="1" ht="12" customHeight="1">
      <c r="A13" s="959" t="s">
        <v>374</v>
      </c>
      <c r="B13" s="959"/>
      <c r="C13" s="959"/>
      <c r="D13" s="959"/>
      <c r="E13" s="959"/>
      <c r="F13" s="959"/>
      <c r="G13" s="959"/>
      <c r="H13" s="959"/>
      <c r="I13" s="959"/>
      <c r="J13" s="959"/>
      <c r="K13" s="959"/>
      <c r="L13" s="960" t="s">
        <v>375</v>
      </c>
      <c r="M13" s="961"/>
      <c r="N13" s="960"/>
      <c r="O13" s="959"/>
      <c r="P13" s="959"/>
      <c r="Q13" s="953"/>
      <c r="R13" s="956"/>
      <c r="S13" s="953"/>
      <c r="T13" s="953"/>
      <c r="U13" s="953"/>
      <c r="V13" s="953"/>
    </row>
    <row r="14" spans="1:24" s="955" customFormat="1" ht="12" customHeight="1">
      <c r="A14" s="959" t="s">
        <v>376</v>
      </c>
      <c r="B14" s="959"/>
      <c r="C14" s="959"/>
      <c r="D14" s="959"/>
      <c r="E14" s="959"/>
      <c r="F14" s="959"/>
      <c r="G14" s="959"/>
      <c r="H14" s="959"/>
      <c r="I14" s="959"/>
      <c r="J14" s="959"/>
      <c r="K14" s="959"/>
      <c r="L14" s="960" t="s">
        <v>377</v>
      </c>
      <c r="M14" s="963"/>
      <c r="N14" s="962"/>
      <c r="O14" s="953"/>
      <c r="P14" s="953"/>
      <c r="Q14" s="953"/>
      <c r="R14" s="956"/>
      <c r="S14" s="953"/>
      <c r="T14" s="953"/>
      <c r="U14" s="953"/>
      <c r="V14" s="953"/>
    </row>
    <row r="15" spans="1:24" s="955" customFormat="1" ht="12" customHeight="1">
      <c r="A15" s="959" t="s">
        <v>378</v>
      </c>
      <c r="B15" s="959"/>
      <c r="C15" s="959"/>
      <c r="D15" s="959"/>
      <c r="E15" s="959"/>
      <c r="F15" s="959"/>
      <c r="G15" s="959"/>
      <c r="H15" s="959"/>
      <c r="I15" s="959"/>
      <c r="J15" s="959"/>
      <c r="K15" s="959"/>
      <c r="L15" s="962" t="s">
        <v>379</v>
      </c>
      <c r="M15" s="953"/>
      <c r="N15" s="953"/>
      <c r="O15" s="953"/>
      <c r="P15" s="953"/>
      <c r="Q15" s="953"/>
      <c r="R15" s="956"/>
      <c r="S15" s="953"/>
      <c r="T15" s="956"/>
      <c r="U15" s="956"/>
      <c r="V15" s="956"/>
      <c r="W15" s="964"/>
      <c r="X15" s="964"/>
    </row>
    <row r="17" spans="1:10" s="966" customFormat="1" hidden="1">
      <c r="A17" s="965" t="s">
        <v>380</v>
      </c>
    </row>
    <row r="18" spans="1:10" hidden="1"/>
    <row r="19" spans="1:10" hidden="1">
      <c r="A19" s="964" t="s">
        <v>381</v>
      </c>
      <c r="B19" s="967"/>
      <c r="C19" s="964" t="s">
        <v>382</v>
      </c>
      <c r="D19" s="964">
        <v>166</v>
      </c>
      <c r="E19" s="964" t="s">
        <v>383</v>
      </c>
      <c r="F19" s="964">
        <f>B19/D19</f>
        <v>0</v>
      </c>
      <c r="G19" s="1745" t="s">
        <v>384</v>
      </c>
      <c r="H19" s="1745"/>
      <c r="I19" s="1745"/>
    </row>
    <row r="20" spans="1:10" hidden="1">
      <c r="B20" s="964">
        <f>F19</f>
        <v>0</v>
      </c>
      <c r="C20" s="964" t="s">
        <v>82</v>
      </c>
      <c r="D20" s="964">
        <v>16</v>
      </c>
      <c r="E20" s="964" t="s">
        <v>82</v>
      </c>
      <c r="F20" s="964">
        <v>2.2999999999999998</v>
      </c>
      <c r="G20" s="964" t="s">
        <v>385</v>
      </c>
      <c r="H20" s="968">
        <f>B20*D20*F20</f>
        <v>0</v>
      </c>
    </row>
    <row r="21" spans="1:10" hidden="1">
      <c r="B21" s="969" t="s">
        <v>386</v>
      </c>
      <c r="C21" s="969"/>
      <c r="D21" s="969"/>
      <c r="E21" s="969"/>
      <c r="F21" s="969"/>
      <c r="G21" s="969"/>
      <c r="H21" s="969"/>
      <c r="I21" s="969"/>
    </row>
    <row r="22" spans="1:10">
      <c r="A22" s="970" t="s">
        <v>387</v>
      </c>
      <c r="B22" s="969"/>
      <c r="C22" s="969"/>
      <c r="D22" s="969"/>
      <c r="E22" s="969"/>
      <c r="F22" s="969"/>
      <c r="G22" s="969"/>
      <c r="H22" s="969"/>
      <c r="I22" s="969"/>
    </row>
    <row r="23" spans="1:10">
      <c r="B23" s="969"/>
      <c r="C23" s="969"/>
      <c r="D23" s="969"/>
      <c r="E23" s="969"/>
      <c r="F23" s="969"/>
      <c r="G23" s="969"/>
      <c r="H23" s="969"/>
      <c r="I23" s="969"/>
    </row>
    <row r="24" spans="1:10">
      <c r="A24" s="964" t="s">
        <v>381</v>
      </c>
      <c r="B24" s="969">
        <f>'[4]ТИНСКАЯ с 01.01.2018'!H58/'[4]ТИНСКАЯ с 01.01.2018'!E58</f>
        <v>3355.0000000000005</v>
      </c>
      <c r="C24" s="969" t="s">
        <v>388</v>
      </c>
      <c r="D24" s="971">
        <v>147.69999999999999</v>
      </c>
      <c r="E24" s="969" t="s">
        <v>385</v>
      </c>
      <c r="F24" s="972">
        <f>ROUND(B24/D24,2)</f>
        <v>22.71</v>
      </c>
      <c r="G24" s="1745" t="s">
        <v>384</v>
      </c>
      <c r="H24" s="1745"/>
      <c r="I24" s="1745"/>
    </row>
    <row r="25" spans="1:10">
      <c r="B25" s="972">
        <f>F24</f>
        <v>22.71</v>
      </c>
      <c r="C25" s="969" t="s">
        <v>82</v>
      </c>
      <c r="D25" s="973">
        <v>15.17</v>
      </c>
      <c r="E25" s="969" t="s">
        <v>385</v>
      </c>
      <c r="F25" s="972">
        <f>ROUND(B25*D25,2)</f>
        <v>344.51</v>
      </c>
      <c r="G25" s="969"/>
      <c r="H25" s="969"/>
      <c r="I25" s="969"/>
    </row>
    <row r="26" spans="1:10">
      <c r="B26" s="972">
        <f>F25</f>
        <v>344.51</v>
      </c>
      <c r="C26" s="969" t="s">
        <v>82</v>
      </c>
      <c r="D26" s="969">
        <v>2</v>
      </c>
      <c r="E26" s="969" t="s">
        <v>385</v>
      </c>
      <c r="F26" s="974">
        <f>ROUND(B26*D26,2)</f>
        <v>689.02</v>
      </c>
      <c r="G26" s="969"/>
      <c r="H26" s="975" t="s">
        <v>389</v>
      </c>
      <c r="I26" s="969"/>
    </row>
    <row r="27" spans="1:10" ht="15">
      <c r="A27" s="976" t="s">
        <v>390</v>
      </c>
      <c r="B27" s="976"/>
      <c r="C27" s="976"/>
      <c r="D27" s="976"/>
      <c r="E27" s="969"/>
      <c r="F27" s="977">
        <f ca="1">[4]ночные!F40+празднич!F26</f>
        <v>6194.5599999999995</v>
      </c>
      <c r="G27" s="978" t="s">
        <v>1276</v>
      </c>
      <c r="H27" s="969"/>
      <c r="I27" s="969"/>
    </row>
    <row r="28" spans="1:10">
      <c r="B28" s="969"/>
      <c r="C28" s="969"/>
      <c r="D28" s="969"/>
      <c r="E28" s="969"/>
      <c r="F28" s="969"/>
      <c r="G28" s="969"/>
      <c r="H28" s="969"/>
      <c r="I28" s="969"/>
    </row>
    <row r="29" spans="1:10" s="966" customFormat="1">
      <c r="A29" s="965" t="s">
        <v>391</v>
      </c>
    </row>
    <row r="31" spans="1:10">
      <c r="A31" s="964" t="s">
        <v>381</v>
      </c>
      <c r="B31" s="967">
        <f>('[4]ТИНСКАЯ с 01.01.2018'!E39*'[4]ТИНСКАЯ с 01.01.2018'!F39+'[4]ТИНСКАЯ с 01.01.2018'!E40*'[4]ТИНСКАЯ с 01.01.2018'!F40)/('[4]ТИНСКАЯ с 01.01.2018'!E39+'[4]ТИНСКАЯ с 01.01.2018'!E40)</f>
        <v>5793.8086956521738</v>
      </c>
      <c r="C31" s="964" t="s">
        <v>382</v>
      </c>
      <c r="D31" s="971">
        <v>102.42</v>
      </c>
      <c r="E31" s="964" t="s">
        <v>383</v>
      </c>
      <c r="F31" s="967">
        <f>ROUND(B31/D31,2)</f>
        <v>56.57</v>
      </c>
      <c r="G31" s="1745" t="s">
        <v>384</v>
      </c>
      <c r="H31" s="1745"/>
      <c r="I31" s="1745"/>
    </row>
    <row r="32" spans="1:10">
      <c r="B32" s="967">
        <f>F31</f>
        <v>56.57</v>
      </c>
      <c r="C32" s="964" t="s">
        <v>82</v>
      </c>
      <c r="D32" s="979">
        <v>18.670000000000002</v>
      </c>
      <c r="E32" s="964" t="s">
        <v>385</v>
      </c>
      <c r="F32" s="964">
        <f>ROUND(B32*D32,2)</f>
        <v>1056.1600000000001</v>
      </c>
      <c r="I32" s="968"/>
      <c r="J32" s="968"/>
    </row>
    <row r="33" spans="1:10">
      <c r="B33" s="969" t="s">
        <v>386</v>
      </c>
      <c r="C33" s="969"/>
      <c r="D33" s="969"/>
      <c r="E33" s="969"/>
      <c r="F33" s="969"/>
      <c r="G33" s="969"/>
      <c r="H33" s="969"/>
      <c r="I33" s="969"/>
    </row>
    <row r="34" spans="1:10" s="966" customFormat="1" hidden="1">
      <c r="A34" s="965" t="s">
        <v>392</v>
      </c>
      <c r="B34" s="965"/>
    </row>
    <row r="35" spans="1:10" hidden="1"/>
    <row r="36" spans="1:10" hidden="1">
      <c r="A36" s="964" t="s">
        <v>381</v>
      </c>
      <c r="B36" s="967"/>
      <c r="C36" s="964" t="s">
        <v>382</v>
      </c>
      <c r="D36" s="964">
        <v>161.9</v>
      </c>
      <c r="E36" s="964" t="s">
        <v>383</v>
      </c>
      <c r="F36" s="964">
        <f>B36/D36</f>
        <v>0</v>
      </c>
      <c r="G36" s="1745" t="s">
        <v>384</v>
      </c>
      <c r="H36" s="1745"/>
      <c r="I36" s="1745"/>
    </row>
    <row r="37" spans="1:10" hidden="1">
      <c r="B37" s="964">
        <f>F36</f>
        <v>0</v>
      </c>
      <c r="C37" s="964" t="s">
        <v>82</v>
      </c>
      <c r="D37" s="964">
        <v>16</v>
      </c>
      <c r="E37" s="964" t="s">
        <v>393</v>
      </c>
      <c r="F37" s="968">
        <f>B37*D37</f>
        <v>0</v>
      </c>
      <c r="G37" s="964" t="s">
        <v>394</v>
      </c>
    </row>
    <row r="38" spans="1:10" hidden="1">
      <c r="B38" s="969" t="s">
        <v>386</v>
      </c>
      <c r="C38" s="969"/>
      <c r="D38" s="969"/>
      <c r="E38" s="969"/>
      <c r="F38" s="969"/>
      <c r="G38" s="969"/>
      <c r="H38" s="969"/>
      <c r="I38" s="969"/>
    </row>
    <row r="39" spans="1:10" hidden="1"/>
    <row r="40" spans="1:10" s="983" customFormat="1" ht="15" hidden="1">
      <c r="A40" s="980" t="s">
        <v>390</v>
      </c>
      <c r="B40" s="980"/>
      <c r="C40" s="980"/>
      <c r="D40" s="980"/>
      <c r="E40" s="980"/>
      <c r="F40" s="981">
        <f>(F37+'[5]ночные на 2008г.'!F63)*2</f>
        <v>0</v>
      </c>
      <c r="G40" s="982" t="s">
        <v>1276</v>
      </c>
      <c r="H40" s="981"/>
      <c r="I40" s="980"/>
      <c r="J40" s="980"/>
    </row>
    <row r="41" spans="1:10" s="966" customFormat="1" ht="15">
      <c r="B41" s="984">
        <f>F32</f>
        <v>1056.1600000000001</v>
      </c>
      <c r="C41" s="966" t="s">
        <v>82</v>
      </c>
      <c r="D41" s="985">
        <v>2</v>
      </c>
      <c r="E41" s="966" t="s">
        <v>385</v>
      </c>
      <c r="F41" s="966">
        <f>ROUND(B41*D41,2)</f>
        <v>2112.3200000000002</v>
      </c>
      <c r="G41" s="978" t="s">
        <v>1276</v>
      </c>
      <c r="H41" s="966" t="s">
        <v>395</v>
      </c>
    </row>
    <row r="42" spans="1:10" s="966" customFormat="1"/>
    <row r="43" spans="1:10" s="966" customFormat="1">
      <c r="A43" s="965" t="s">
        <v>396</v>
      </c>
    </row>
    <row r="44" spans="1:10" s="966" customFormat="1"/>
    <row r="45" spans="1:10">
      <c r="A45" s="964" t="s">
        <v>381</v>
      </c>
      <c r="B45" s="967">
        <f>'[4]ТИНСКАЯ с 01.01.2018'!H56/'[4]ТИНСКАЯ с 01.01.2018'!E56</f>
        <v>2552.0000000000005</v>
      </c>
      <c r="C45" s="964" t="s">
        <v>382</v>
      </c>
      <c r="D45" s="971">
        <v>164.17</v>
      </c>
      <c r="E45" s="964" t="s">
        <v>383</v>
      </c>
      <c r="F45" s="967">
        <f>ROUND(B45/D45,2)</f>
        <v>15.54</v>
      </c>
      <c r="G45" s="1745" t="s">
        <v>384</v>
      </c>
      <c r="H45" s="1745"/>
      <c r="I45" s="1745"/>
    </row>
    <row r="46" spans="1:10">
      <c r="B46" s="967">
        <f>F45</f>
        <v>15.54</v>
      </c>
      <c r="C46" s="964" t="s">
        <v>82</v>
      </c>
      <c r="D46" s="979">
        <v>28</v>
      </c>
      <c r="E46" s="964" t="s">
        <v>393</v>
      </c>
      <c r="F46" s="986">
        <f>ROUND(B46*D46*2,2)</f>
        <v>870.24</v>
      </c>
      <c r="G46" s="964" t="s">
        <v>394</v>
      </c>
    </row>
    <row r="47" spans="1:10">
      <c r="B47" s="969" t="s">
        <v>386</v>
      </c>
      <c r="C47" s="969"/>
      <c r="D47" s="969"/>
      <c r="E47" s="969"/>
      <c r="F47" s="969"/>
      <c r="G47" s="969"/>
      <c r="H47" s="969"/>
      <c r="I47" s="969"/>
    </row>
    <row r="48" spans="1:10" s="988" customFormat="1" ht="15">
      <c r="A48" s="976" t="s">
        <v>390</v>
      </c>
      <c r="B48" s="976"/>
      <c r="C48" s="976"/>
      <c r="D48" s="976"/>
      <c r="E48" s="976"/>
      <c r="F48" s="977">
        <f ca="1">[4]ночные!F26+празднич!F46</f>
        <v>4637.54</v>
      </c>
      <c r="G48" s="978" t="s">
        <v>1276</v>
      </c>
      <c r="H48" s="987" t="s">
        <v>397</v>
      </c>
      <c r="I48" s="976"/>
      <c r="J48" s="976"/>
    </row>
    <row r="49" spans="1:15">
      <c r="B49" s="969"/>
      <c r="C49" s="969"/>
      <c r="D49" s="969"/>
      <c r="E49" s="969"/>
      <c r="F49" s="969"/>
      <c r="G49" s="969"/>
      <c r="H49" s="969"/>
      <c r="I49" s="969"/>
    </row>
    <row r="50" spans="1:15">
      <c r="A50" s="965" t="s">
        <v>1648</v>
      </c>
    </row>
    <row r="51" spans="1:15">
      <c r="A51" s="964" t="s">
        <v>381</v>
      </c>
      <c r="B51" s="967">
        <f>'[4]ТИНСКАЯ с 01.01.2018'!H51/'[4]ТИНСКАЯ с 01.01.2018'!E51</f>
        <v>2971</v>
      </c>
      <c r="C51" s="964" t="s">
        <v>382</v>
      </c>
      <c r="D51" s="971">
        <v>164.17</v>
      </c>
      <c r="E51" s="964" t="s">
        <v>383</v>
      </c>
      <c r="F51" s="967">
        <f>ROUND(B51/D51,2)</f>
        <v>18.100000000000001</v>
      </c>
      <c r="G51" s="1745" t="s">
        <v>384</v>
      </c>
      <c r="H51" s="1745"/>
      <c r="I51" s="1745"/>
    </row>
    <row r="52" spans="1:15" ht="15">
      <c r="B52" s="967">
        <f>F51</f>
        <v>18.100000000000001</v>
      </c>
      <c r="C52" s="964" t="s">
        <v>82</v>
      </c>
      <c r="D52" s="979">
        <v>18.670000000000002</v>
      </c>
      <c r="E52" s="964" t="s">
        <v>385</v>
      </c>
      <c r="F52" s="989">
        <f>ROUND(B52*D52*2,2)</f>
        <v>675.85</v>
      </c>
      <c r="H52" s="987" t="s">
        <v>397</v>
      </c>
    </row>
    <row r="53" spans="1:15">
      <c r="B53" s="969" t="s">
        <v>386</v>
      </c>
      <c r="C53" s="969"/>
      <c r="D53" s="969"/>
      <c r="E53" s="969"/>
      <c r="F53" s="969"/>
      <c r="G53" s="969"/>
      <c r="H53" s="969"/>
      <c r="I53" s="969"/>
    </row>
    <row r="54" spans="1:15">
      <c r="B54" s="969"/>
      <c r="C54" s="969"/>
      <c r="D54" s="969"/>
      <c r="E54" s="969"/>
      <c r="F54" s="969"/>
      <c r="G54" s="969"/>
      <c r="H54" s="969"/>
      <c r="I54" s="969"/>
    </row>
    <row r="55" spans="1:15">
      <c r="A55" s="965" t="s">
        <v>398</v>
      </c>
    </row>
    <row r="56" spans="1:15">
      <c r="A56" s="964" t="s">
        <v>381</v>
      </c>
      <c r="B56" s="967">
        <f>('[4]ТИНСКАЯ с 01.01.2018'!H52+'[4]ТИНСКАЯ с 01.01.2018'!H53)/('[4]ТИНСКАЯ с 01.01.2018'!E52+'[4]ТИНСКАЯ с 01.01.2018'!E53)</f>
        <v>2552</v>
      </c>
      <c r="C56" s="964" t="s">
        <v>382</v>
      </c>
      <c r="D56" s="971">
        <v>164.17</v>
      </c>
      <c r="E56" s="964" t="s">
        <v>383</v>
      </c>
      <c r="F56" s="967">
        <f>ROUND(B56/D56,2)</f>
        <v>15.54</v>
      </c>
      <c r="G56" s="1745" t="s">
        <v>384</v>
      </c>
      <c r="H56" s="1745"/>
      <c r="I56" s="1745"/>
    </row>
    <row r="57" spans="1:15">
      <c r="B57" s="967">
        <f>F56</f>
        <v>15.54</v>
      </c>
      <c r="C57" s="964" t="s">
        <v>82</v>
      </c>
      <c r="D57" s="979">
        <v>18.670000000000002</v>
      </c>
      <c r="E57" s="964" t="s">
        <v>383</v>
      </c>
      <c r="F57" s="989">
        <f>ROUND(B57*D57*2,2)</f>
        <v>580.26</v>
      </c>
      <c r="G57" s="964" t="s">
        <v>394</v>
      </c>
      <c r="H57" s="969" t="s">
        <v>399</v>
      </c>
      <c r="I57" s="969"/>
      <c r="J57" s="969"/>
      <c r="O57" s="990"/>
    </row>
    <row r="58" spans="1:15" ht="15">
      <c r="F58" s="991" t="s">
        <v>400</v>
      </c>
    </row>
    <row r="60" spans="1:15">
      <c r="A60" s="991" t="s">
        <v>1527</v>
      </c>
      <c r="B60" s="989">
        <f>F26+F41+F46+F52+F57</f>
        <v>4927.6900000000005</v>
      </c>
    </row>
    <row r="61" spans="1:15" ht="15">
      <c r="A61" s="976" t="s">
        <v>390</v>
      </c>
      <c r="B61" s="976"/>
      <c r="C61" s="976"/>
      <c r="D61" s="976"/>
      <c r="E61" s="992">
        <f ca="1">[4]ночные!B67+празднич!B60</f>
        <v>14200.53</v>
      </c>
    </row>
    <row r="62" spans="1:15" ht="15">
      <c r="A62" s="976"/>
      <c r="B62" s="976"/>
      <c r="C62" s="976"/>
      <c r="D62" s="976"/>
    </row>
    <row r="63" spans="1:15" ht="15">
      <c r="A63" s="976"/>
      <c r="B63" s="976"/>
      <c r="C63" s="976"/>
      <c r="D63" s="976"/>
    </row>
    <row r="64" spans="1:15" hidden="1">
      <c r="A64" s="993" t="s">
        <v>1039</v>
      </c>
      <c r="F64" s="993" t="s">
        <v>1040</v>
      </c>
    </row>
    <row r="65" spans="1:7">
      <c r="B65" s="994"/>
      <c r="C65" s="994"/>
      <c r="D65" s="994"/>
      <c r="E65" s="994"/>
      <c r="F65" s="994"/>
      <c r="G65" s="994"/>
    </row>
    <row r="66" spans="1:7">
      <c r="B66" s="994"/>
      <c r="C66" s="994"/>
      <c r="D66" s="994"/>
      <c r="E66" s="994"/>
      <c r="F66" s="994"/>
      <c r="G66" s="994"/>
    </row>
    <row r="67" spans="1:7">
      <c r="A67" s="993" t="s">
        <v>401</v>
      </c>
    </row>
  </sheetData>
  <mergeCells count="8">
    <mergeCell ref="G51:I51"/>
    <mergeCell ref="G56:I56"/>
    <mergeCell ref="A1:I2"/>
    <mergeCell ref="G19:I19"/>
    <mergeCell ref="G24:I24"/>
    <mergeCell ref="G31:I31"/>
    <mergeCell ref="G36:I36"/>
    <mergeCell ref="G45:I45"/>
  </mergeCells>
  <phoneticPr fontId="116" type="noConversion"/>
  <pageMargins left="0.70866141732283472" right="0.70866141732283472" top="0.74803149606299213" bottom="0.74803149606299213" header="0.31496062992125984" footer="0.31496062992125984"/>
  <pageSetup paperSize="9" scale="69" orientation="landscape" r:id="rId1"/>
</worksheet>
</file>

<file path=xl/worksheets/sheet17.xml><?xml version="1.0" encoding="utf-8"?>
<worksheet xmlns="http://schemas.openxmlformats.org/spreadsheetml/2006/main" xmlns:r="http://schemas.openxmlformats.org/officeDocument/2006/relationships">
  <sheetPr>
    <tabColor indexed="33"/>
  </sheetPr>
  <dimension ref="A1:X73"/>
  <sheetViews>
    <sheetView view="pageBreakPreview" topLeftCell="A28" zoomScale="93" zoomScaleNormal="100" zoomScaleSheetLayoutView="93" workbookViewId="0">
      <selection activeCell="M39" sqref="M39"/>
    </sheetView>
  </sheetViews>
  <sheetFormatPr defaultRowHeight="12.75"/>
  <cols>
    <col min="1" max="1" width="9.140625" style="964"/>
    <col min="2" max="2" width="11.5703125" style="964" bestFit="1" customWidth="1"/>
    <col min="3" max="3" width="7.7109375" style="964" customWidth="1"/>
    <col min="4" max="4" width="9.85546875" style="964" customWidth="1"/>
    <col min="5" max="5" width="5.140625" style="964" customWidth="1"/>
    <col min="6" max="6" width="11.5703125" style="964" bestFit="1" customWidth="1"/>
    <col min="7" max="9" width="9.140625" style="964"/>
    <col min="10" max="10" width="11.5703125" style="964" bestFit="1" customWidth="1"/>
    <col min="11" max="16384" width="9.140625" style="964"/>
  </cols>
  <sheetData>
    <row r="1" spans="1:24" s="952" customFormat="1" ht="15.75" customHeight="1">
      <c r="A1" s="1751" t="s">
        <v>402</v>
      </c>
      <c r="B1" s="1751"/>
      <c r="C1" s="1751"/>
      <c r="D1" s="1751"/>
      <c r="E1" s="1751"/>
      <c r="F1" s="1751"/>
      <c r="G1" s="1751"/>
      <c r="H1" s="1751"/>
      <c r="I1" s="1751"/>
    </row>
    <row r="2" spans="1:24" s="952" customFormat="1" ht="15.75">
      <c r="A2" s="1751"/>
      <c r="B2" s="1751"/>
      <c r="C2" s="1751"/>
      <c r="D2" s="1751"/>
      <c r="E2" s="1751"/>
      <c r="F2" s="1751"/>
      <c r="G2" s="1751"/>
      <c r="H2" s="1751"/>
      <c r="I2" s="1751"/>
    </row>
    <row r="3" spans="1:24" s="954" customFormat="1" ht="15.75">
      <c r="A3" s="953"/>
      <c r="B3" s="953"/>
      <c r="C3" s="953"/>
      <c r="D3" s="953"/>
      <c r="E3" s="953"/>
      <c r="F3" s="953"/>
      <c r="G3" s="953"/>
      <c r="H3" s="953"/>
      <c r="I3" s="953"/>
    </row>
    <row r="4" spans="1:24" s="954" customFormat="1" ht="15.75">
      <c r="A4" s="953" t="s">
        <v>403</v>
      </c>
      <c r="B4" s="953"/>
      <c r="C4" s="1752" t="s">
        <v>404</v>
      </c>
      <c r="D4" s="1752"/>
      <c r="E4" s="1752"/>
      <c r="F4" s="953"/>
      <c r="G4" s="953"/>
      <c r="H4" s="953"/>
      <c r="I4" s="953"/>
      <c r="J4" s="953"/>
      <c r="K4" s="953"/>
      <c r="L4" s="953"/>
      <c r="M4" s="953"/>
      <c r="N4" s="953"/>
      <c r="O4" s="953"/>
      <c r="P4" s="953"/>
      <c r="Q4" s="953"/>
      <c r="R4" s="955"/>
      <c r="S4" s="955"/>
      <c r="T4" s="955"/>
    </row>
    <row r="5" spans="1:24" s="955" customFormat="1">
      <c r="A5" s="953" t="s">
        <v>405</v>
      </c>
      <c r="B5" s="957"/>
      <c r="C5" s="953"/>
      <c r="D5" s="953"/>
      <c r="E5" s="953"/>
      <c r="F5" s="953"/>
      <c r="G5" s="953"/>
      <c r="H5" s="953"/>
      <c r="I5" s="953"/>
      <c r="J5" s="953"/>
      <c r="K5" s="953"/>
      <c r="L5" s="953"/>
      <c r="M5" s="953"/>
      <c r="N5" s="953"/>
      <c r="O5" s="953"/>
      <c r="P5" s="953"/>
      <c r="Q5" s="953"/>
    </row>
    <row r="6" spans="1:24" s="955" customFormat="1">
      <c r="A6" s="958" t="s">
        <v>406</v>
      </c>
      <c r="B6" s="958"/>
      <c r="C6" s="958"/>
      <c r="D6" s="958"/>
      <c r="E6" s="958"/>
      <c r="F6" s="958"/>
      <c r="G6" s="958"/>
      <c r="H6" s="958"/>
      <c r="I6" s="958"/>
      <c r="J6" s="953"/>
      <c r="K6" s="953"/>
      <c r="L6" s="953"/>
      <c r="M6" s="953"/>
      <c r="N6" s="953"/>
      <c r="O6" s="953"/>
      <c r="P6" s="953"/>
      <c r="Q6" s="953"/>
    </row>
    <row r="7" spans="1:24" s="955" customFormat="1">
      <c r="A7" s="958" t="s">
        <v>407</v>
      </c>
      <c r="B7" s="957"/>
      <c r="C7" s="958"/>
      <c r="D7" s="958"/>
      <c r="E7" s="958"/>
      <c r="F7" s="958"/>
      <c r="G7" s="958"/>
      <c r="H7" s="958"/>
      <c r="I7" s="958"/>
      <c r="J7" s="953"/>
      <c r="K7" s="953"/>
      <c r="L7" s="953"/>
      <c r="M7" s="953"/>
      <c r="N7" s="953"/>
      <c r="O7" s="953"/>
      <c r="P7" s="953"/>
      <c r="Q7" s="953"/>
    </row>
    <row r="8" spans="1:24" s="955" customFormat="1">
      <c r="A8" s="959" t="s">
        <v>370</v>
      </c>
      <c r="B8" s="959"/>
      <c r="C8" s="959"/>
      <c r="D8" s="959"/>
      <c r="E8" s="959"/>
      <c r="F8" s="959"/>
      <c r="G8" s="959"/>
      <c r="H8" s="959"/>
      <c r="I8" s="953"/>
      <c r="J8" s="953"/>
      <c r="K8" s="953"/>
      <c r="L8" s="960" t="s">
        <v>371</v>
      </c>
      <c r="M8" s="961"/>
      <c r="N8" s="959"/>
      <c r="O8" s="953"/>
      <c r="P8" s="953"/>
      <c r="Q8" s="953"/>
      <c r="R8" s="953"/>
      <c r="S8" s="953"/>
      <c r="T8" s="953"/>
    </row>
    <row r="9" spans="1:24" s="955" customFormat="1" ht="12" customHeight="1">
      <c r="A9" s="959" t="s">
        <v>372</v>
      </c>
      <c r="B9" s="959"/>
      <c r="C9" s="959"/>
      <c r="D9" s="959"/>
      <c r="E9" s="959"/>
      <c r="F9" s="959"/>
      <c r="G9" s="959"/>
      <c r="H9" s="959"/>
      <c r="I9" s="953"/>
      <c r="J9" s="953"/>
      <c r="K9" s="953"/>
      <c r="L9" s="962" t="s">
        <v>373</v>
      </c>
      <c r="M9" s="963"/>
      <c r="N9" s="953"/>
      <c r="O9" s="953"/>
      <c r="P9" s="953"/>
      <c r="Q9" s="953"/>
      <c r="R9" s="953"/>
      <c r="S9" s="953"/>
      <c r="T9" s="953"/>
      <c r="U9" s="953"/>
      <c r="V9" s="953"/>
    </row>
    <row r="10" spans="1:24" s="955" customFormat="1" ht="12" customHeight="1">
      <c r="A10" s="959" t="s">
        <v>374</v>
      </c>
      <c r="B10" s="959"/>
      <c r="C10" s="959"/>
      <c r="D10" s="959"/>
      <c r="E10" s="959"/>
      <c r="F10" s="959"/>
      <c r="G10" s="959"/>
      <c r="H10" s="959"/>
      <c r="I10" s="953"/>
      <c r="J10" s="953"/>
      <c r="K10" s="953"/>
      <c r="L10" s="960" t="s">
        <v>375</v>
      </c>
      <c r="M10" s="961"/>
      <c r="N10" s="960"/>
      <c r="O10" s="959"/>
      <c r="P10" s="953"/>
      <c r="Q10" s="953"/>
      <c r="R10" s="953"/>
      <c r="S10" s="953"/>
      <c r="T10" s="953"/>
      <c r="U10" s="953"/>
      <c r="V10" s="953"/>
    </row>
    <row r="11" spans="1:24" s="955" customFormat="1" ht="12" customHeight="1">
      <c r="A11" s="959" t="s">
        <v>376</v>
      </c>
      <c r="B11" s="959"/>
      <c r="C11" s="959"/>
      <c r="D11" s="959"/>
      <c r="E11" s="959"/>
      <c r="F11" s="959"/>
      <c r="G11" s="959"/>
      <c r="H11" s="959"/>
      <c r="I11" s="953"/>
      <c r="J11" s="953"/>
      <c r="K11" s="953"/>
      <c r="L11" s="962" t="s">
        <v>377</v>
      </c>
      <c r="M11" s="963"/>
      <c r="N11" s="962"/>
      <c r="O11" s="953"/>
      <c r="P11" s="953"/>
      <c r="Q11" s="953"/>
      <c r="R11" s="953"/>
      <c r="S11" s="953"/>
      <c r="T11" s="953"/>
      <c r="U11" s="953"/>
      <c r="V11" s="953"/>
    </row>
    <row r="12" spans="1:24" s="955" customFormat="1" ht="12" customHeight="1">
      <c r="A12" s="959" t="s">
        <v>378</v>
      </c>
      <c r="B12" s="959"/>
      <c r="C12" s="959"/>
      <c r="D12" s="959"/>
      <c r="E12" s="959"/>
      <c r="F12" s="959"/>
      <c r="G12" s="959"/>
      <c r="H12" s="959"/>
      <c r="I12" s="953"/>
      <c r="J12" s="953"/>
      <c r="K12" s="953"/>
      <c r="L12" s="962" t="s">
        <v>379</v>
      </c>
      <c r="M12" s="953"/>
      <c r="N12" s="953"/>
      <c r="O12" s="953"/>
      <c r="P12" s="953"/>
      <c r="Q12" s="953"/>
      <c r="R12" s="953"/>
      <c r="S12" s="953"/>
      <c r="T12" s="956"/>
      <c r="U12" s="953"/>
      <c r="V12" s="953"/>
    </row>
    <row r="13" spans="1:24" s="955" customFormat="1" ht="12" customHeight="1">
      <c r="A13" s="953" t="s">
        <v>408</v>
      </c>
      <c r="B13" s="953"/>
      <c r="C13" s="953"/>
      <c r="D13" s="953"/>
      <c r="E13" s="953"/>
      <c r="F13" s="953"/>
      <c r="G13" s="953"/>
      <c r="H13" s="953"/>
      <c r="I13" s="953"/>
      <c r="J13" s="953"/>
      <c r="K13" s="953"/>
      <c r="L13" s="953"/>
      <c r="M13" s="953"/>
      <c r="N13" s="953"/>
      <c r="O13" s="953"/>
      <c r="P13" s="953"/>
      <c r="Q13" s="953"/>
      <c r="U13" s="956"/>
      <c r="V13" s="956"/>
      <c r="W13" s="964"/>
      <c r="X13" s="964"/>
    </row>
    <row r="14" spans="1:24" s="955" customFormat="1" ht="12" customHeight="1">
      <c r="A14" s="953"/>
      <c r="B14" s="953"/>
      <c r="C14" s="953"/>
      <c r="D14" s="953"/>
      <c r="E14" s="953"/>
      <c r="F14" s="953"/>
      <c r="G14" s="953"/>
      <c r="H14" s="953"/>
      <c r="I14" s="953"/>
      <c r="J14" s="953"/>
      <c r="K14" s="953"/>
      <c r="L14" s="953"/>
      <c r="M14" s="953"/>
      <c r="N14" s="953"/>
      <c r="O14" s="953"/>
      <c r="P14" s="953"/>
      <c r="Q14" s="953"/>
      <c r="U14" s="956"/>
      <c r="V14" s="956"/>
      <c r="W14" s="964"/>
      <c r="X14" s="964"/>
    </row>
    <row r="15" spans="1:24">
      <c r="A15" s="970" t="s">
        <v>396</v>
      </c>
    </row>
    <row r="16" spans="1:24">
      <c r="A16" s="964" t="s">
        <v>381</v>
      </c>
      <c r="B16" s="967">
        <f>'[4]ТИНСКАЯ с 01.01.2018'!H56/'[4]ТИНСКАЯ с 01.01.2018'!E56</f>
        <v>2552.0000000000005</v>
      </c>
      <c r="C16" s="964" t="s">
        <v>382</v>
      </c>
      <c r="D16" s="971">
        <v>164.17</v>
      </c>
      <c r="E16" s="964" t="s">
        <v>383</v>
      </c>
      <c r="F16" s="967">
        <f>ROUND(B16/D16,2)</f>
        <v>15.54</v>
      </c>
      <c r="G16" s="1748" t="s">
        <v>409</v>
      </c>
      <c r="H16" s="1748"/>
      <c r="I16" s="1748"/>
      <c r="J16" s="1748"/>
    </row>
    <row r="17" spans="1:14">
      <c r="B17" s="967">
        <f>F16</f>
        <v>15.54</v>
      </c>
      <c r="C17" s="964" t="s">
        <v>410</v>
      </c>
      <c r="D17" s="964">
        <v>0.35</v>
      </c>
      <c r="E17" s="964" t="s">
        <v>383</v>
      </c>
      <c r="F17" s="967">
        <f>ROUND(B17*D17,2)</f>
        <v>5.44</v>
      </c>
      <c r="G17" s="1748" t="s">
        <v>411</v>
      </c>
      <c r="H17" s="1748"/>
      <c r="I17" s="1748"/>
    </row>
    <row r="18" spans="1:14">
      <c r="A18" s="967">
        <f>F17</f>
        <v>5.44</v>
      </c>
      <c r="B18" s="964" t="s">
        <v>82</v>
      </c>
      <c r="C18" s="979">
        <v>234</v>
      </c>
      <c r="D18" s="964" t="s">
        <v>82</v>
      </c>
      <c r="E18" s="985">
        <v>1.4</v>
      </c>
      <c r="F18" s="964" t="s">
        <v>412</v>
      </c>
      <c r="G18" s="969" t="s">
        <v>385</v>
      </c>
      <c r="H18" s="995">
        <f>ROUND(A18*C18*E18,2)</f>
        <v>1782.14</v>
      </c>
      <c r="I18" s="1745" t="s">
        <v>413</v>
      </c>
      <c r="J18" s="1745"/>
      <c r="K18" s="1745"/>
    </row>
    <row r="19" spans="1:14">
      <c r="G19" s="969"/>
      <c r="H19" s="969"/>
      <c r="I19" s="1745"/>
      <c r="J19" s="1745"/>
      <c r="K19" s="1745"/>
    </row>
    <row r="20" spans="1:14">
      <c r="B20" s="996">
        <f>F16</f>
        <v>15.54</v>
      </c>
      <c r="C20" s="997" t="s">
        <v>82</v>
      </c>
      <c r="D20" s="997">
        <v>2</v>
      </c>
      <c r="E20" s="997" t="s">
        <v>82</v>
      </c>
      <c r="F20" s="997">
        <v>0.35</v>
      </c>
      <c r="G20" s="997" t="s">
        <v>383</v>
      </c>
      <c r="H20" s="996">
        <f>ROUND(B20*D20*F20,2)</f>
        <v>10.88</v>
      </c>
      <c r="I20" s="997" t="s">
        <v>414</v>
      </c>
    </row>
    <row r="21" spans="1:14">
      <c r="B21" s="1747" t="s">
        <v>415</v>
      </c>
      <c r="C21" s="1747"/>
      <c r="D21" s="1747"/>
      <c r="E21" s="1747"/>
      <c r="F21" s="1747"/>
      <c r="G21" s="1747"/>
      <c r="H21" s="1747"/>
      <c r="I21" s="1747"/>
    </row>
    <row r="22" spans="1:14">
      <c r="B22" s="996">
        <f>H20</f>
        <v>10.88</v>
      </c>
      <c r="C22" s="997" t="s">
        <v>82</v>
      </c>
      <c r="D22" s="998">
        <v>9.33</v>
      </c>
      <c r="E22" s="997" t="s">
        <v>385</v>
      </c>
      <c r="F22" s="996">
        <f>ROUND(B22*D22,2)</f>
        <v>101.51</v>
      </c>
      <c r="G22" s="997" t="s">
        <v>416</v>
      </c>
      <c r="H22" s="997"/>
      <c r="I22" s="997"/>
    </row>
    <row r="23" spans="1:14">
      <c r="B23" s="1747" t="s">
        <v>417</v>
      </c>
      <c r="C23" s="1747"/>
      <c r="D23" s="1747"/>
      <c r="E23" s="1747"/>
      <c r="F23" s="1747"/>
      <c r="G23" s="1747"/>
      <c r="H23" s="1747"/>
      <c r="I23" s="1747"/>
    </row>
    <row r="24" spans="1:14">
      <c r="B24" s="999"/>
      <c r="C24" s="999"/>
      <c r="D24" s="999"/>
      <c r="E24" s="999"/>
      <c r="F24" s="999"/>
      <c r="G24" s="999"/>
      <c r="H24" s="999"/>
      <c r="I24" s="999"/>
    </row>
    <row r="25" spans="1:14">
      <c r="B25" s="999"/>
      <c r="C25" s="999"/>
      <c r="D25" s="999"/>
      <c r="E25" s="999"/>
      <c r="F25" s="999"/>
      <c r="G25" s="999"/>
      <c r="H25" s="999"/>
      <c r="I25" s="999"/>
    </row>
    <row r="26" spans="1:14">
      <c r="A26" s="999"/>
      <c r="B26" s="1000">
        <f>H18</f>
        <v>1782.14</v>
      </c>
      <c r="C26" s="999" t="s">
        <v>418</v>
      </c>
      <c r="D26" s="1000">
        <f>F22</f>
        <v>101.51</v>
      </c>
      <c r="E26" s="999" t="s">
        <v>383</v>
      </c>
      <c r="F26" s="1001">
        <f>(B26+D26)*2</f>
        <v>3767.3</v>
      </c>
      <c r="G26" s="1747" t="s">
        <v>419</v>
      </c>
      <c r="H26" s="1747"/>
      <c r="I26" s="1747"/>
    </row>
    <row r="27" spans="1:14">
      <c r="B27" s="1747" t="s">
        <v>420</v>
      </c>
      <c r="C27" s="1747"/>
      <c r="D27" s="1747"/>
      <c r="E27" s="1747"/>
      <c r="F27" s="1002" t="s">
        <v>397</v>
      </c>
      <c r="G27" s="999"/>
      <c r="H27" s="999"/>
      <c r="I27" s="999"/>
    </row>
    <row r="28" spans="1:14" s="966" customFormat="1">
      <c r="A28" s="965" t="s">
        <v>421</v>
      </c>
      <c r="L28" s="964"/>
      <c r="M28" s="964"/>
      <c r="N28" s="964"/>
    </row>
    <row r="30" spans="1:14">
      <c r="A30" s="964" t="s">
        <v>381</v>
      </c>
      <c r="B30" s="967">
        <f>'[4]ТИНСКАЯ с 01.01.2018'!H58/'[4]ТИНСКАЯ с 01.01.2018'!E58</f>
        <v>3355.0000000000005</v>
      </c>
      <c r="C30" s="964" t="s">
        <v>382</v>
      </c>
      <c r="D30" s="971">
        <v>147.69999999999999</v>
      </c>
      <c r="E30" s="964" t="s">
        <v>383</v>
      </c>
      <c r="F30" s="967">
        <f>ROUND(B30/D30,2)</f>
        <v>22.71</v>
      </c>
      <c r="G30" s="1748" t="s">
        <v>409</v>
      </c>
      <c r="H30" s="1748"/>
      <c r="I30" s="1748"/>
      <c r="J30" s="1748"/>
    </row>
    <row r="31" spans="1:14">
      <c r="B31" s="967">
        <f>F30</f>
        <v>22.71</v>
      </c>
      <c r="C31" s="964" t="s">
        <v>410</v>
      </c>
      <c r="D31" s="964">
        <v>0.35</v>
      </c>
      <c r="E31" s="964" t="s">
        <v>383</v>
      </c>
      <c r="F31" s="967">
        <f>ROUND(B31*D31,2)</f>
        <v>7.95</v>
      </c>
      <c r="G31" s="1748" t="s">
        <v>411</v>
      </c>
      <c r="H31" s="1748"/>
      <c r="I31" s="1748"/>
    </row>
    <row r="32" spans="1:14" ht="12.75" customHeight="1">
      <c r="A32" s="967">
        <f>F31</f>
        <v>7.95</v>
      </c>
      <c r="B32" s="1003" t="s">
        <v>82</v>
      </c>
      <c r="C32" s="1004">
        <v>234</v>
      </c>
      <c r="D32" s="964" t="s">
        <v>82</v>
      </c>
      <c r="E32" s="1005">
        <v>1.4</v>
      </c>
      <c r="F32" s="964" t="s">
        <v>412</v>
      </c>
      <c r="I32" s="994" t="s">
        <v>385</v>
      </c>
      <c r="J32" s="1006">
        <f>ROUND(A32*C32*E32,2)</f>
        <v>2604.42</v>
      </c>
      <c r="K32" s="1745" t="s">
        <v>413</v>
      </c>
      <c r="L32" s="1745"/>
    </row>
    <row r="33" spans="1:12">
      <c r="G33" s="969"/>
      <c r="H33" s="969"/>
      <c r="I33" s="994"/>
      <c r="J33" s="994"/>
      <c r="K33" s="1745"/>
      <c r="L33" s="1745"/>
    </row>
    <row r="34" spans="1:12">
      <c r="B34" s="996">
        <f>F30</f>
        <v>22.71</v>
      </c>
      <c r="C34" s="997" t="s">
        <v>82</v>
      </c>
      <c r="D34" s="997">
        <v>2</v>
      </c>
      <c r="E34" s="997" t="s">
        <v>82</v>
      </c>
      <c r="F34" s="997">
        <v>0.35</v>
      </c>
      <c r="G34" s="997" t="s">
        <v>383</v>
      </c>
      <c r="H34" s="996">
        <f>ROUND(B34*D34*F34,2)</f>
        <v>15.9</v>
      </c>
      <c r="I34" s="997" t="s">
        <v>414</v>
      </c>
    </row>
    <row r="35" spans="1:12">
      <c r="B35" s="1747" t="s">
        <v>415</v>
      </c>
      <c r="C35" s="1747"/>
      <c r="D35" s="1747"/>
      <c r="E35" s="1747"/>
      <c r="F35" s="1747"/>
      <c r="G35" s="1747"/>
      <c r="H35" s="1747"/>
      <c r="I35" s="1747"/>
    </row>
    <row r="36" spans="1:12">
      <c r="B36" s="996">
        <f>H34</f>
        <v>15.9</v>
      </c>
      <c r="C36" s="997" t="s">
        <v>82</v>
      </c>
      <c r="D36" s="998">
        <v>9.33</v>
      </c>
      <c r="E36" s="997"/>
      <c r="F36" s="997"/>
      <c r="G36" s="997"/>
      <c r="H36" s="997"/>
      <c r="I36" s="997" t="s">
        <v>385</v>
      </c>
      <c r="J36" s="967">
        <f>ROUND(B36*D36,2)</f>
        <v>148.35</v>
      </c>
      <c r="K36" s="997" t="s">
        <v>416</v>
      </c>
    </row>
    <row r="37" spans="1:12">
      <c r="B37" s="1747" t="s">
        <v>417</v>
      </c>
      <c r="C37" s="1747"/>
      <c r="D37" s="1747"/>
      <c r="E37" s="1747"/>
      <c r="F37" s="1747"/>
      <c r="G37" s="1747"/>
      <c r="H37" s="1747"/>
      <c r="I37" s="1747"/>
    </row>
    <row r="38" spans="1:12">
      <c r="B38" s="999"/>
      <c r="C38" s="999"/>
      <c r="D38" s="999"/>
      <c r="E38" s="999"/>
      <c r="F38" s="999"/>
      <c r="G38" s="999"/>
      <c r="H38" s="999"/>
      <c r="I38" s="999"/>
    </row>
    <row r="39" spans="1:12">
      <c r="B39" s="999"/>
      <c r="C39" s="999"/>
      <c r="D39" s="999"/>
      <c r="E39" s="999"/>
      <c r="F39" s="999"/>
      <c r="G39" s="999"/>
      <c r="H39" s="999"/>
      <c r="I39" s="999"/>
    </row>
    <row r="40" spans="1:12" ht="12.75" customHeight="1">
      <c r="B40" s="1000">
        <f>J32</f>
        <v>2604.42</v>
      </c>
      <c r="C40" s="999" t="s">
        <v>418</v>
      </c>
      <c r="D40" s="1000">
        <f>J36</f>
        <v>148.35</v>
      </c>
      <c r="E40" s="999" t="s">
        <v>383</v>
      </c>
      <c r="F40" s="1001">
        <f>(B40+D40)*2</f>
        <v>5505.54</v>
      </c>
      <c r="G40" s="1749" t="s">
        <v>422</v>
      </c>
      <c r="H40" s="1750"/>
      <c r="I40" s="1750"/>
      <c r="J40" s="1750"/>
    </row>
    <row r="41" spans="1:12" ht="12.75" customHeight="1">
      <c r="B41" s="1747" t="s">
        <v>420</v>
      </c>
      <c r="C41" s="1747"/>
      <c r="D41" s="1747"/>
      <c r="E41" s="1747"/>
      <c r="F41" s="1002" t="s">
        <v>397</v>
      </c>
      <c r="G41" s="999"/>
      <c r="H41" s="999"/>
      <c r="I41" s="999"/>
    </row>
    <row r="42" spans="1:12" s="966" customFormat="1" hidden="1">
      <c r="A42" s="965" t="s">
        <v>423</v>
      </c>
    </row>
    <row r="43" spans="1:12" hidden="1"/>
    <row r="44" spans="1:12" hidden="1">
      <c r="A44" s="964" t="s">
        <v>381</v>
      </c>
      <c r="B44" s="964">
        <v>1414</v>
      </c>
      <c r="C44" s="964" t="s">
        <v>382</v>
      </c>
      <c r="D44" s="964">
        <v>165.75</v>
      </c>
      <c r="E44" s="964" t="s">
        <v>383</v>
      </c>
      <c r="F44" s="964">
        <f>B44/D44</f>
        <v>8.5309200603318249</v>
      </c>
      <c r="G44" s="1748" t="s">
        <v>409</v>
      </c>
      <c r="H44" s="1748"/>
      <c r="I44" s="1748"/>
      <c r="J44" s="1748"/>
    </row>
    <row r="45" spans="1:12" hidden="1">
      <c r="B45" s="964">
        <f>F44</f>
        <v>8.5309200603318249</v>
      </c>
      <c r="C45" s="964" t="s">
        <v>410</v>
      </c>
      <c r="D45" s="964">
        <v>0.35</v>
      </c>
      <c r="E45" s="964" t="s">
        <v>383</v>
      </c>
      <c r="F45" s="964">
        <f>B45*D45</f>
        <v>2.9858220211161384</v>
      </c>
      <c r="G45" s="1748" t="s">
        <v>411</v>
      </c>
      <c r="H45" s="1748"/>
      <c r="I45" s="1748"/>
    </row>
    <row r="46" spans="1:12" ht="12.75" hidden="1" customHeight="1">
      <c r="A46" s="964">
        <f>F45</f>
        <v>2.9858220211161384</v>
      </c>
      <c r="B46" s="1003" t="s">
        <v>82</v>
      </c>
      <c r="C46" s="1007">
        <v>236</v>
      </c>
      <c r="D46" s="964" t="s">
        <v>82</v>
      </c>
      <c r="E46" s="1008">
        <v>5</v>
      </c>
      <c r="F46" s="964" t="s">
        <v>412</v>
      </c>
      <c r="G46" s="964">
        <f>A46*C46*E46</f>
        <v>3523.2699849170431</v>
      </c>
      <c r="H46" s="964" t="s">
        <v>424</v>
      </c>
      <c r="I46" s="1745" t="s">
        <v>413</v>
      </c>
      <c r="J46" s="1745"/>
      <c r="K46" s="969"/>
      <c r="L46" s="969"/>
    </row>
    <row r="47" spans="1:12" hidden="1">
      <c r="G47" s="969"/>
      <c r="H47" s="969"/>
      <c r="I47" s="1745"/>
      <c r="J47" s="1745"/>
    </row>
    <row r="48" spans="1:12" hidden="1">
      <c r="B48" s="997">
        <f>F44</f>
        <v>8.5309200603318249</v>
      </c>
      <c r="C48" s="997" t="s">
        <v>82</v>
      </c>
      <c r="D48" s="997">
        <v>2</v>
      </c>
      <c r="E48" s="997" t="s">
        <v>82</v>
      </c>
      <c r="F48" s="997">
        <v>0.35</v>
      </c>
      <c r="G48" s="997" t="s">
        <v>383</v>
      </c>
      <c r="H48" s="997">
        <f>B48*D48*F48</f>
        <v>5.9716440422322767</v>
      </c>
      <c r="I48" s="997" t="s">
        <v>425</v>
      </c>
    </row>
    <row r="49" spans="1:12" hidden="1">
      <c r="B49" s="1747" t="s">
        <v>415</v>
      </c>
      <c r="C49" s="1747"/>
      <c r="D49" s="1747"/>
      <c r="E49" s="1747"/>
      <c r="F49" s="1747"/>
      <c r="G49" s="1747"/>
      <c r="H49" s="1747"/>
      <c r="I49" s="1747"/>
    </row>
    <row r="50" spans="1:12" hidden="1">
      <c r="B50" s="997">
        <f>H48</f>
        <v>5.9716440422322767</v>
      </c>
      <c r="C50" s="997" t="s">
        <v>82</v>
      </c>
      <c r="D50" s="997">
        <v>7.33</v>
      </c>
      <c r="E50" s="997" t="s">
        <v>383</v>
      </c>
      <c r="F50" s="997">
        <f>B50*D50</f>
        <v>43.772150829562591</v>
      </c>
      <c r="G50" s="997" t="s">
        <v>1276</v>
      </c>
      <c r="H50" s="997" t="s">
        <v>416</v>
      </c>
      <c r="I50" s="997"/>
    </row>
    <row r="51" spans="1:12" ht="12.75" hidden="1" customHeight="1">
      <c r="B51" s="1747" t="s">
        <v>417</v>
      </c>
      <c r="C51" s="1747"/>
      <c r="D51" s="1747"/>
      <c r="E51" s="1747"/>
      <c r="F51" s="1747"/>
      <c r="G51" s="1747"/>
      <c r="H51" s="1747"/>
      <c r="I51" s="1747"/>
    </row>
    <row r="52" spans="1:12" ht="12.75" hidden="1" customHeight="1">
      <c r="B52" s="999">
        <f>G46</f>
        <v>3523.2699849170431</v>
      </c>
      <c r="C52" s="999" t="s">
        <v>418</v>
      </c>
      <c r="D52" s="999">
        <f>F50</f>
        <v>43.772150829562591</v>
      </c>
      <c r="E52" s="999" t="s">
        <v>383</v>
      </c>
      <c r="F52" s="999">
        <f>B52+D52</f>
        <v>3567.0421357466057</v>
      </c>
      <c r="G52" s="1747" t="s">
        <v>419</v>
      </c>
      <c r="H52" s="1747"/>
      <c r="I52" s="1747"/>
    </row>
    <row r="53" spans="1:12" ht="12.75" hidden="1" customHeight="1">
      <c r="B53" s="1747" t="s">
        <v>420</v>
      </c>
      <c r="C53" s="1747"/>
      <c r="D53" s="1747"/>
      <c r="E53" s="1747"/>
      <c r="F53" s="999"/>
      <c r="G53" s="999"/>
      <c r="H53" s="999"/>
      <c r="I53" s="999"/>
    </row>
    <row r="54" spans="1:12" hidden="1">
      <c r="A54" s="965" t="s">
        <v>392</v>
      </c>
    </row>
    <row r="55" spans="1:12" hidden="1"/>
    <row r="56" spans="1:12" hidden="1">
      <c r="A56" s="964" t="s">
        <v>381</v>
      </c>
      <c r="B56" s="967"/>
      <c r="C56" s="964" t="s">
        <v>382</v>
      </c>
      <c r="D56" s="964">
        <v>161.9</v>
      </c>
      <c r="E56" s="964" t="s">
        <v>383</v>
      </c>
      <c r="F56" s="964">
        <f>B56/D56</f>
        <v>0</v>
      </c>
      <c r="G56" s="1748" t="s">
        <v>409</v>
      </c>
      <c r="H56" s="1748"/>
      <c r="I56" s="1748"/>
      <c r="J56" s="1748"/>
    </row>
    <row r="57" spans="1:12" hidden="1">
      <c r="B57" s="964">
        <f>F56</f>
        <v>0</v>
      </c>
      <c r="C57" s="964" t="s">
        <v>410</v>
      </c>
      <c r="D57" s="964">
        <v>0.35</v>
      </c>
      <c r="E57" s="964" t="s">
        <v>383</v>
      </c>
      <c r="F57" s="964">
        <f>B57*D57</f>
        <v>0</v>
      </c>
      <c r="G57" s="1748" t="s">
        <v>411</v>
      </c>
      <c r="H57" s="1748"/>
      <c r="I57" s="1748"/>
    </row>
    <row r="58" spans="1:12" ht="12.75" hidden="1" customHeight="1">
      <c r="A58" s="964">
        <f>F57</f>
        <v>0</v>
      </c>
      <c r="B58" s="1003" t="s">
        <v>82</v>
      </c>
      <c r="C58" s="1005">
        <v>236</v>
      </c>
      <c r="D58" s="964" t="s">
        <v>82</v>
      </c>
      <c r="E58" s="1005">
        <v>1</v>
      </c>
      <c r="F58" s="964" t="s">
        <v>412</v>
      </c>
      <c r="G58" s="964">
        <f>A58*C58*E58</f>
        <v>0</v>
      </c>
      <c r="H58" s="964" t="s">
        <v>424</v>
      </c>
      <c r="I58" s="969" t="s">
        <v>426</v>
      </c>
      <c r="K58" s="969"/>
      <c r="L58" s="969"/>
    </row>
    <row r="59" spans="1:12" hidden="1">
      <c r="G59" s="1745"/>
      <c r="H59" s="1745"/>
      <c r="I59" s="1745"/>
    </row>
    <row r="60" spans="1:12" hidden="1">
      <c r="B60" s="997">
        <f>F56</f>
        <v>0</v>
      </c>
      <c r="C60" s="997" t="s">
        <v>82</v>
      </c>
      <c r="D60" s="997">
        <v>2</v>
      </c>
      <c r="E60" s="997" t="s">
        <v>82</v>
      </c>
      <c r="F60" s="997">
        <v>0.35</v>
      </c>
      <c r="G60" s="997" t="s">
        <v>383</v>
      </c>
      <c r="H60" s="997">
        <f>B60*D60*F60</f>
        <v>0</v>
      </c>
      <c r="I60" s="997" t="s">
        <v>425</v>
      </c>
    </row>
    <row r="61" spans="1:12" hidden="1">
      <c r="B61" s="1747" t="s">
        <v>415</v>
      </c>
      <c r="C61" s="1747"/>
      <c r="D61" s="1747"/>
      <c r="E61" s="1747"/>
      <c r="F61" s="1747"/>
      <c r="G61" s="1747"/>
      <c r="H61" s="1747"/>
      <c r="I61" s="1747"/>
    </row>
    <row r="62" spans="1:12" hidden="1">
      <c r="B62" s="997">
        <f>H60</f>
        <v>0</v>
      </c>
      <c r="C62" s="997" t="s">
        <v>82</v>
      </c>
      <c r="D62" s="997">
        <v>8</v>
      </c>
      <c r="E62" s="997" t="s">
        <v>383</v>
      </c>
      <c r="F62" s="997">
        <f>B62*D62</f>
        <v>0</v>
      </c>
      <c r="G62" s="997" t="s">
        <v>1276</v>
      </c>
      <c r="H62" s="997" t="s">
        <v>416</v>
      </c>
      <c r="I62" s="997"/>
    </row>
    <row r="63" spans="1:12" hidden="1">
      <c r="B63" s="1747" t="s">
        <v>417</v>
      </c>
      <c r="C63" s="1747"/>
      <c r="D63" s="1747"/>
      <c r="E63" s="1747"/>
      <c r="F63" s="1747"/>
      <c r="G63" s="1747"/>
      <c r="H63" s="1747"/>
      <c r="I63" s="1747"/>
    </row>
    <row r="64" spans="1:12" hidden="1">
      <c r="A64" s="999"/>
      <c r="B64" s="999">
        <f>G58</f>
        <v>0</v>
      </c>
      <c r="C64" s="999" t="s">
        <v>418</v>
      </c>
      <c r="D64" s="999">
        <f>F62</f>
        <v>0</v>
      </c>
      <c r="E64" s="999" t="s">
        <v>383</v>
      </c>
      <c r="F64" s="1009">
        <f>B64+D64</f>
        <v>0</v>
      </c>
      <c r="G64" s="1747" t="s">
        <v>419</v>
      </c>
      <c r="H64" s="1747"/>
      <c r="I64" s="1747"/>
    </row>
    <row r="65" spans="1:9" ht="15.75" hidden="1" customHeight="1">
      <c r="B65" s="1747" t="s">
        <v>420</v>
      </c>
      <c r="C65" s="1747"/>
      <c r="D65" s="1747"/>
      <c r="E65" s="1747"/>
      <c r="F65" s="999"/>
      <c r="G65" s="999"/>
      <c r="H65" s="999"/>
      <c r="I65" s="999"/>
    </row>
    <row r="67" spans="1:9">
      <c r="A67" s="991" t="s">
        <v>1527</v>
      </c>
      <c r="B67" s="1010">
        <f>F26+F40</f>
        <v>9272.84</v>
      </c>
    </row>
    <row r="68" spans="1:9">
      <c r="A68" s="991"/>
      <c r="B68" s="1010"/>
    </row>
    <row r="69" spans="1:9">
      <c r="A69" s="991"/>
      <c r="B69" s="1010"/>
    </row>
    <row r="70" spans="1:9" hidden="1">
      <c r="A70" s="993" t="s">
        <v>1039</v>
      </c>
      <c r="F70" s="993" t="s">
        <v>1040</v>
      </c>
    </row>
    <row r="71" spans="1:9">
      <c r="B71" s="994"/>
      <c r="C71" s="994"/>
      <c r="D71" s="994"/>
      <c r="E71" s="994"/>
      <c r="F71" s="994"/>
      <c r="G71" s="994"/>
      <c r="H71" s="994"/>
      <c r="I71" s="994"/>
    </row>
    <row r="72" spans="1:9">
      <c r="B72" s="994"/>
      <c r="C72" s="994"/>
      <c r="D72" s="994"/>
      <c r="E72" s="994"/>
      <c r="F72" s="994"/>
      <c r="G72" s="994"/>
      <c r="H72" s="994"/>
      <c r="I72" s="994"/>
    </row>
    <row r="73" spans="1:9">
      <c r="A73" s="993" t="s">
        <v>401</v>
      </c>
    </row>
  </sheetData>
  <mergeCells count="30">
    <mergeCell ref="A1:I2"/>
    <mergeCell ref="C4:E4"/>
    <mergeCell ref="G16:J16"/>
    <mergeCell ref="G17:I17"/>
    <mergeCell ref="G31:I31"/>
    <mergeCell ref="K32:L33"/>
    <mergeCell ref="G26:I26"/>
    <mergeCell ref="B23:I23"/>
    <mergeCell ref="G30:J30"/>
    <mergeCell ref="B27:E27"/>
    <mergeCell ref="B61:I61"/>
    <mergeCell ref="G57:I57"/>
    <mergeCell ref="B21:I21"/>
    <mergeCell ref="I18:K19"/>
    <mergeCell ref="G44:J44"/>
    <mergeCell ref="G45:I45"/>
    <mergeCell ref="B41:E41"/>
    <mergeCell ref="B37:I37"/>
    <mergeCell ref="B35:I35"/>
    <mergeCell ref="G40:J40"/>
    <mergeCell ref="G64:I64"/>
    <mergeCell ref="G59:I59"/>
    <mergeCell ref="B65:E65"/>
    <mergeCell ref="I46:J47"/>
    <mergeCell ref="B49:I49"/>
    <mergeCell ref="B51:I51"/>
    <mergeCell ref="G52:I52"/>
    <mergeCell ref="B53:E53"/>
    <mergeCell ref="B63:I63"/>
    <mergeCell ref="G56:J56"/>
  </mergeCells>
  <phoneticPr fontId="116" type="noConversion"/>
  <pageMargins left="0.70866141732283472" right="0.70866141732283472" top="0.74803149606299213" bottom="0.74803149606299213" header="0.31496062992125984" footer="0.31496062992125984"/>
  <pageSetup paperSize="9" scale="75" orientation="landscape" r:id="rId1"/>
</worksheet>
</file>

<file path=xl/worksheets/sheet18.xml><?xml version="1.0" encoding="utf-8"?>
<worksheet xmlns="http://schemas.openxmlformats.org/spreadsheetml/2006/main" xmlns:r="http://schemas.openxmlformats.org/officeDocument/2006/relationships">
  <sheetPr>
    <tabColor theme="9" tint="-0.249977111117893"/>
  </sheetPr>
  <dimension ref="A1:I102"/>
  <sheetViews>
    <sheetView view="pageBreakPreview" zoomScale="84" zoomScaleNormal="93" zoomScaleSheetLayoutView="84" workbookViewId="0">
      <selection sqref="A1:IV65536"/>
    </sheetView>
  </sheetViews>
  <sheetFormatPr defaultRowHeight="12.75"/>
  <cols>
    <col min="1" max="1" width="7.85546875" style="1012" customWidth="1"/>
    <col min="2" max="2" width="60.85546875" style="1012" customWidth="1"/>
    <col min="3" max="3" width="25.42578125" style="1012" customWidth="1"/>
    <col min="4" max="4" width="22.42578125" style="1012" customWidth="1"/>
    <col min="5" max="5" width="18.5703125" style="1012" customWidth="1"/>
    <col min="6" max="6" width="18.42578125" style="1012" customWidth="1"/>
    <col min="7" max="7" width="18.42578125" style="1011" customWidth="1"/>
    <col min="8" max="8" width="13.85546875" style="1011" customWidth="1"/>
    <col min="9" max="16384" width="9.140625" style="1011"/>
  </cols>
  <sheetData>
    <row r="1" spans="1:7" s="724" customFormat="1" ht="15" customHeight="1">
      <c r="A1" s="784"/>
      <c r="B1" s="784"/>
      <c r="C1" s="784"/>
      <c r="D1" s="791" t="s">
        <v>150</v>
      </c>
      <c r="E1" s="785"/>
      <c r="F1" s="723"/>
    </row>
    <row r="2" spans="1:7" s="725" customFormat="1" ht="34.5" customHeight="1">
      <c r="A2" s="1695" t="s">
        <v>1274</v>
      </c>
      <c r="B2" s="1695"/>
      <c r="C2" s="1695"/>
      <c r="D2" s="784"/>
      <c r="E2" s="784"/>
      <c r="F2" s="481"/>
    </row>
    <row r="3" spans="1:7" s="725" customFormat="1" ht="19.5" customHeight="1">
      <c r="A3" s="1696" t="s">
        <v>442</v>
      </c>
      <c r="B3" s="1696"/>
      <c r="C3" s="1696"/>
      <c r="D3" s="784"/>
      <c r="E3" s="784"/>
      <c r="F3" s="481"/>
    </row>
    <row r="4" spans="1:7" s="1079" customFormat="1" ht="15" customHeight="1">
      <c r="A4" s="1080"/>
      <c r="B4" s="1080"/>
      <c r="C4" s="1080"/>
      <c r="D4" s="1081"/>
      <c r="E4" s="1080"/>
      <c r="F4" s="1080"/>
    </row>
    <row r="5" spans="1:7" ht="79.5" hidden="1" customHeight="1">
      <c r="A5" s="1075"/>
      <c r="B5" s="1076"/>
      <c r="C5" s="1077"/>
      <c r="D5" s="1077" t="s">
        <v>441</v>
      </c>
      <c r="E5" s="1076"/>
      <c r="F5" s="1077"/>
    </row>
    <row r="6" spans="1:7" ht="34.5" hidden="1" customHeight="1">
      <c r="A6" s="1075"/>
      <c r="B6" s="1755" t="s">
        <v>440</v>
      </c>
      <c r="C6" s="1755"/>
      <c r="D6" s="1076"/>
      <c r="E6" s="1076"/>
      <c r="F6" s="1077"/>
    </row>
    <row r="7" spans="1:7" ht="42" hidden="1" customHeight="1">
      <c r="A7" s="1075"/>
      <c r="B7" s="1756" t="s">
        <v>439</v>
      </c>
      <c r="C7" s="1756"/>
      <c r="D7" s="1078"/>
      <c r="E7" s="1078"/>
      <c r="F7" s="1077"/>
    </row>
    <row r="8" spans="1:7" ht="14.25" hidden="1" customHeight="1">
      <c r="A8" s="1075"/>
      <c r="B8" s="1753" t="s">
        <v>438</v>
      </c>
      <c r="C8" s="1753"/>
      <c r="D8" s="1082"/>
      <c r="E8" s="1082"/>
      <c r="F8" s="1077"/>
    </row>
    <row r="9" spans="1:7" ht="31.5" hidden="1" customHeight="1">
      <c r="A9" s="1075"/>
      <c r="B9" s="1755" t="s">
        <v>437</v>
      </c>
      <c r="C9" s="1755"/>
      <c r="D9" s="1076"/>
      <c r="E9" s="1076"/>
      <c r="F9" s="1074"/>
    </row>
    <row r="10" spans="1:7" ht="12.75" hidden="1" customHeight="1">
      <c r="A10" s="1075"/>
      <c r="B10" s="1754"/>
      <c r="C10" s="1754"/>
      <c r="D10" s="1075"/>
      <c r="E10" s="1075"/>
      <c r="F10" s="1074"/>
    </row>
    <row r="11" spans="1:7" ht="12.75" customHeight="1">
      <c r="A11" s="1075"/>
      <c r="B11" s="1415"/>
      <c r="C11" s="1415"/>
      <c r="D11" s="1075"/>
      <c r="E11" s="1075"/>
      <c r="F11" s="1074"/>
    </row>
    <row r="12" spans="1:7" s="1063" customFormat="1" ht="16.5" customHeight="1">
      <c r="A12" s="1068"/>
      <c r="B12" s="1067" t="s">
        <v>1275</v>
      </c>
      <c r="C12" s="1066" t="s">
        <v>1276</v>
      </c>
      <c r="D12" s="1065"/>
      <c r="E12" s="1065"/>
      <c r="F12" s="1070"/>
    </row>
    <row r="13" spans="1:7" s="1012" customFormat="1" ht="20.25" customHeight="1">
      <c r="A13" s="1060"/>
      <c r="B13" s="1415" t="s">
        <v>1277</v>
      </c>
      <c r="C13" s="1043">
        <f ca="1">'ВР211(т.2.1) штат. 01.01.18'!H45+'ВР211(т.2.1) штат. 01.01.18'!H46+'ВР211(т.2.1) штат. 01.01.18'!H47+'ВР211(т.2.1) штат. 01.01.18'!H48+'ВР211(т.2.1) штат. 01.01.18'!H49+'ВР211(т.2.1) штат. 01.01.18'!H50+'ВР211(т.2.1) штат. 01.01.18'!H51+'ВР211(т.2.1) штат. 01.01.18'!H52+'ВР211(т.2.1) штат. 01.01.18'!H53+'ВР211(т.2.1) штат. 01.01.18'!H54</f>
        <v>250629.97000000003</v>
      </c>
      <c r="D13" s="1415"/>
      <c r="E13" s="1415"/>
      <c r="F13" s="1058"/>
    </row>
    <row r="14" spans="1:7" s="1012" customFormat="1" ht="31.5">
      <c r="A14" s="1060"/>
      <c r="B14" s="1415" t="s">
        <v>1278</v>
      </c>
      <c r="C14" s="1043">
        <f ca="1">'ВР211(т.2.1) штат. 01.01.18'!J45+'ВР211(т.2.1) штат. 01.01.18'!K45+'ВР211(т.2.1) штат. 01.01.18'!L45+'ВР211(т.2.1) штат. 01.01.18'!M45+'ВР211(т.2.1) штат. 01.01.18'!J46+'ВР211(т.2.1) штат. 01.01.18'!K46+'ВР211(т.2.1) штат. 01.01.18'!L46+'ВР211(т.2.1) штат. 01.01.18'!M46+'ВР211(т.2.1) штат. 01.01.18'!J47+'ВР211(т.2.1) штат. 01.01.18'!K47+'ВР211(т.2.1) штат. 01.01.18'!L47+'ВР211(т.2.1) штат. 01.01.18'!J48+'ВР211(т.2.1) штат. 01.01.18'!K48+'ВР211(т.2.1) штат. 01.01.18'!L48+'ВР211(т.2.1) штат. 01.01.18'!J49+'ВР211(т.2.1) штат. 01.01.18'!K49+'ВР211(т.2.1) штат. 01.01.18'!L49+'ВР211(т.2.1) штат. 01.01.18'!O49+'ВР211(т.2.1) штат. 01.01.18'!J50+'ВР211(т.2.1) штат. 01.01.18'!K50+'ВР211(т.2.1) штат. 01.01.18'!L50+'ВР211(т.2.1) штат. 01.01.18'!J51+'ВР211(т.2.1) штат. 01.01.18'!K51+'ВР211(т.2.1) штат. 01.01.18'!L51+'ВР211(т.2.1) штат. 01.01.18'!J52+'ВР211(т.2.1) штат. 01.01.18'!K52+'ВР211(т.2.1) штат. 01.01.18'!L52+'ВР211(т.2.1) штат. 01.01.18'!J53+'ВР211(т.2.1) штат. 01.01.18'!K53+'ВР211(т.2.1) штат. 01.01.18'!L53+'ВР211(т.2.1) штат. 01.01.18'!J54+'ВР211(т.2.1) штат. 01.01.18'!K54+'ВР211(т.2.1) штат. 01.01.18'!L54</f>
        <v>119244.15999999999</v>
      </c>
      <c r="D14" s="1059"/>
      <c r="E14" s="1059"/>
      <c r="F14" s="1058"/>
    </row>
    <row r="15" spans="1:7" s="1046" customFormat="1" ht="51.75" customHeight="1">
      <c r="A15" s="1014"/>
      <c r="B15" s="1016" t="s">
        <v>238</v>
      </c>
      <c r="C15" s="1043">
        <f ca="1">ROUND((C13+C14)*60%,2)+C13+C14</f>
        <v>591798.6100000001</v>
      </c>
      <c r="D15" s="1043"/>
      <c r="E15" s="1043"/>
      <c r="F15" s="1058"/>
      <c r="G15" s="1012"/>
    </row>
    <row r="16" spans="1:7" s="1046" customFormat="1" ht="18.75" customHeight="1">
      <c r="A16" s="954"/>
      <c r="B16" s="1056" t="s">
        <v>1280</v>
      </c>
      <c r="C16" s="1043">
        <f ca="1">C15</f>
        <v>591798.6100000001</v>
      </c>
      <c r="D16" s="1055"/>
      <c r="E16" s="1055"/>
      <c r="F16" s="1058"/>
      <c r="G16" s="1012"/>
    </row>
    <row r="17" spans="1:9" s="1046" customFormat="1" ht="15.75" customHeight="1">
      <c r="A17" s="1053"/>
      <c r="B17" s="1053" t="s">
        <v>1281</v>
      </c>
      <c r="C17" s="1052">
        <f ca="1">'ВР211(т.2.1) штат. 01.01.18'!P79</f>
        <v>211410.65</v>
      </c>
      <c r="D17" s="1051"/>
      <c r="E17" s="1051"/>
      <c r="F17" s="1053"/>
    </row>
    <row r="18" spans="1:9" s="1036" customFormat="1" ht="18.75" customHeight="1">
      <c r="A18" s="1049"/>
      <c r="B18" s="1048" t="s">
        <v>1282</v>
      </c>
      <c r="C18" s="1043">
        <f>ROUND(C16+C17,2)</f>
        <v>803209.26</v>
      </c>
      <c r="D18" s="1041"/>
      <c r="E18" s="1041"/>
      <c r="F18" s="1058"/>
      <c r="G18" s="1012"/>
    </row>
    <row r="19" spans="1:9" s="1036" customFormat="1" ht="21" customHeight="1">
      <c r="A19" s="1024"/>
      <c r="B19" s="1024" t="s">
        <v>1662</v>
      </c>
      <c r="C19" s="1043">
        <f>ROUND(C16*12,2)</f>
        <v>7101583.3200000003</v>
      </c>
      <c r="D19" s="1041"/>
      <c r="E19" s="1041"/>
      <c r="F19" s="1041"/>
    </row>
    <row r="20" spans="1:9" s="1036" customFormat="1" ht="21.75" customHeight="1">
      <c r="A20" s="1024"/>
      <c r="B20" s="1024" t="s">
        <v>1663</v>
      </c>
      <c r="C20" s="1043">
        <f>ROUND(C17*12,2)</f>
        <v>2536927.7999999998</v>
      </c>
      <c r="D20" s="1041"/>
      <c r="E20" s="1041"/>
      <c r="F20" s="1041"/>
    </row>
    <row r="21" spans="1:9" s="1036" customFormat="1" ht="27" customHeight="1">
      <c r="A21" s="1024"/>
      <c r="B21" s="1073" t="s">
        <v>433</v>
      </c>
      <c r="C21" s="1038">
        <f>ROUND(C20+C19,2)</f>
        <v>9638511.1199999992</v>
      </c>
      <c r="D21" s="1041"/>
      <c r="E21" s="1041">
        <v>8222458.7999999998</v>
      </c>
      <c r="F21" s="1058">
        <f>C29-E21</f>
        <v>1416052.3199999994</v>
      </c>
      <c r="G21" s="1012" t="s">
        <v>436</v>
      </c>
    </row>
    <row r="22" spans="1:9" s="1036" customFormat="1" ht="21" hidden="1" customHeight="1">
      <c r="A22" s="1024"/>
      <c r="B22" s="1024" t="s">
        <v>242</v>
      </c>
      <c r="C22" s="1043">
        <f>ROUND(1935673.2/4*0,2)</f>
        <v>0</v>
      </c>
      <c r="D22" s="1041"/>
      <c r="E22" s="1041"/>
      <c r="F22" s="1041"/>
    </row>
    <row r="23" spans="1:9" s="1036" customFormat="1" ht="20.25" hidden="1" customHeight="1">
      <c r="A23" s="1024"/>
      <c r="B23" s="1024" t="s">
        <v>243</v>
      </c>
      <c r="C23" s="1043">
        <f>ROUND(805146.4/4*0,2)</f>
        <v>0</v>
      </c>
      <c r="D23" s="1041"/>
      <c r="E23" s="1041"/>
      <c r="F23" s="1041"/>
    </row>
    <row r="24" spans="1:9" s="1036" customFormat="1" ht="22.5" hidden="1" customHeight="1">
      <c r="A24" s="1024"/>
      <c r="B24" s="1073" t="s">
        <v>244</v>
      </c>
      <c r="C24" s="1038">
        <f>ROUND(C23+C22,2)</f>
        <v>0</v>
      </c>
      <c r="D24" s="1041"/>
      <c r="E24" s="1041"/>
      <c r="F24" s="1041"/>
    </row>
    <row r="25" spans="1:9" s="1036" customFormat="1" ht="21" hidden="1" customHeight="1">
      <c r="A25" s="1024"/>
      <c r="B25" s="1024" t="s">
        <v>245</v>
      </c>
      <c r="C25" s="1043">
        <f>ROUND(C16*0,2)</f>
        <v>0</v>
      </c>
      <c r="D25" s="1041"/>
      <c r="E25" s="1041"/>
      <c r="F25" s="1029">
        <v>22404.78</v>
      </c>
      <c r="G25" s="1028">
        <v>211</v>
      </c>
      <c r="H25" s="1027" t="s">
        <v>246</v>
      </c>
      <c r="I25" s="954"/>
    </row>
    <row r="26" spans="1:9" s="1036" customFormat="1" ht="20.25" hidden="1" customHeight="1">
      <c r="A26" s="1024"/>
      <c r="B26" s="1024" t="s">
        <v>247</v>
      </c>
      <c r="C26" s="1043">
        <f>ROUND(C17*0,2)</f>
        <v>0</v>
      </c>
      <c r="D26" s="1041"/>
      <c r="E26" s="1041"/>
      <c r="F26" s="933">
        <v>6766.24</v>
      </c>
      <c r="G26" s="1028">
        <v>213</v>
      </c>
      <c r="H26" s="954"/>
      <c r="I26" s="954"/>
    </row>
    <row r="27" spans="1:9" s="1036" customFormat="1" ht="22.5" hidden="1" customHeight="1">
      <c r="A27" s="1024"/>
      <c r="B27" s="1073" t="s">
        <v>248</v>
      </c>
      <c r="C27" s="1038">
        <f>ROUND(C26+C25,2)</f>
        <v>0</v>
      </c>
      <c r="D27" s="1041"/>
      <c r="E27" s="1041">
        <v>8222458.7999999998</v>
      </c>
      <c r="F27" s="1041"/>
    </row>
    <row r="28" spans="1:9" s="1036" customFormat="1" ht="38.25" hidden="1" customHeight="1">
      <c r="A28" s="1024"/>
      <c r="B28" s="1044" t="s">
        <v>249</v>
      </c>
      <c r="C28" s="1043">
        <v>0</v>
      </c>
      <c r="D28" s="1041"/>
      <c r="E28" s="1041"/>
      <c r="F28" s="1041"/>
    </row>
    <row r="29" spans="1:9" s="1036" customFormat="1" ht="18" customHeight="1">
      <c r="A29" s="1040"/>
      <c r="B29" s="1039" t="s">
        <v>1283</v>
      </c>
      <c r="C29" s="1038">
        <f>C21+C28+C24+C27</f>
        <v>9638511.1199999992</v>
      </c>
      <c r="D29" s="1037"/>
      <c r="E29" s="1037">
        <f>E27+F25</f>
        <v>8244863.5800000001</v>
      </c>
      <c r="F29" s="1058"/>
      <c r="G29" s="1012"/>
    </row>
    <row r="30" spans="1:9" s="1036" customFormat="1" ht="21" customHeight="1">
      <c r="A30" s="1040"/>
      <c r="B30" s="1039"/>
      <c r="C30" s="1038"/>
      <c r="D30" s="1037"/>
      <c r="E30" s="1037"/>
      <c r="F30" s="1041">
        <f>C29/12/30.3</f>
        <v>26508.556435643561</v>
      </c>
    </row>
    <row r="31" spans="1:9" s="1063" customFormat="1" ht="16.5" customHeight="1">
      <c r="A31" s="1068"/>
      <c r="B31" s="1067" t="s">
        <v>1284</v>
      </c>
      <c r="C31" s="1066" t="s">
        <v>1276</v>
      </c>
      <c r="D31" s="1065"/>
      <c r="E31" s="1065"/>
      <c r="F31" s="1070"/>
    </row>
    <row r="32" spans="1:9" s="1012" customFormat="1" ht="20.25" customHeight="1">
      <c r="A32" s="1060"/>
      <c r="B32" s="1415" t="s">
        <v>1277</v>
      </c>
      <c r="C32" s="1043">
        <f ca="1">'ВР211(т.2.1) штат. 01.01.18'!H55</f>
        <v>1418.75</v>
      </c>
      <c r="D32" s="1415"/>
      <c r="E32" s="1415"/>
      <c r="F32" s="1058"/>
    </row>
    <row r="33" spans="1:7" s="1012" customFormat="1" ht="31.5">
      <c r="A33" s="1060"/>
      <c r="B33" s="1415" t="s">
        <v>1278</v>
      </c>
      <c r="C33" s="1043">
        <f ca="1">'ВР211(т.2.1) штат. 01.01.18'!J55+'ВР211(т.2.1) штат. 01.01.18'!K55+'ВР211(т.2.1) штат. 01.01.18'!L55</f>
        <v>922.19</v>
      </c>
      <c r="D33" s="1059"/>
      <c r="E33" s="1059"/>
      <c r="F33" s="1058"/>
    </row>
    <row r="34" spans="1:7" s="1046" customFormat="1" ht="51.75" customHeight="1">
      <c r="A34" s="1014"/>
      <c r="B34" s="1016" t="s">
        <v>238</v>
      </c>
      <c r="C34" s="1043">
        <f ca="1">ROUND((C32+C33)*60%,2)+C32+C33</f>
        <v>3745.5</v>
      </c>
      <c r="D34" s="1043"/>
      <c r="E34" s="1043"/>
      <c r="F34" s="1058"/>
      <c r="G34" s="1012"/>
    </row>
    <row r="35" spans="1:7" s="1046" customFormat="1" ht="20.25" customHeight="1">
      <c r="A35" s="954"/>
      <c r="B35" s="1056" t="s">
        <v>1280</v>
      </c>
      <c r="C35" s="1043">
        <f ca="1">C34</f>
        <v>3745.5</v>
      </c>
      <c r="D35" s="1055"/>
      <c r="E35" s="1055"/>
      <c r="F35" s="1058"/>
      <c r="G35" s="1012"/>
    </row>
    <row r="36" spans="1:7" s="1046" customFormat="1" ht="15.75" customHeight="1">
      <c r="A36" s="1053"/>
      <c r="B36" s="1053" t="s">
        <v>1281</v>
      </c>
      <c r="C36" s="1052">
        <f ca="1">'ВР211(т.2.1) штат. 01.01.18'!P96</f>
        <v>935.29</v>
      </c>
      <c r="D36" s="1051"/>
      <c r="E36" s="1051"/>
      <c r="F36" s="1053"/>
    </row>
    <row r="37" spans="1:7" s="1036" customFormat="1" ht="18.75" customHeight="1">
      <c r="A37" s="1049"/>
      <c r="B37" s="1048" t="s">
        <v>1282</v>
      </c>
      <c r="C37" s="1043">
        <f>ROUND(C35+C36,2)</f>
        <v>4680.79</v>
      </c>
      <c r="D37" s="1041"/>
      <c r="E37" s="1041"/>
      <c r="F37" s="1058"/>
      <c r="G37" s="1012"/>
    </row>
    <row r="38" spans="1:7" s="1036" customFormat="1" ht="21" customHeight="1">
      <c r="A38" s="1024"/>
      <c r="B38" s="1024" t="s">
        <v>1662</v>
      </c>
      <c r="C38" s="1043">
        <f>ROUND(C35*12,2)</f>
        <v>44946</v>
      </c>
      <c r="D38" s="1041"/>
      <c r="E38" s="1041"/>
      <c r="F38" s="1041"/>
    </row>
    <row r="39" spans="1:7" s="1036" customFormat="1" ht="18.75" customHeight="1">
      <c r="A39" s="1024"/>
      <c r="B39" s="1024" t="s">
        <v>1663</v>
      </c>
      <c r="C39" s="1043">
        <f>ROUND(C36*12,2)</f>
        <v>11223.48</v>
      </c>
      <c r="D39" s="1041"/>
      <c r="E39" s="1041">
        <v>54011.76</v>
      </c>
      <c r="F39" s="1041">
        <f>C41-E39</f>
        <v>2157.7200000000012</v>
      </c>
      <c r="G39" s="1036" t="s">
        <v>435</v>
      </c>
    </row>
    <row r="40" spans="1:7" s="1036" customFormat="1" ht="21.75" customHeight="1">
      <c r="A40" s="1024"/>
      <c r="B40" s="1073" t="s">
        <v>433</v>
      </c>
      <c r="C40" s="1038">
        <f>ROUND(C39+C38,2)</f>
        <v>56169.48</v>
      </c>
      <c r="D40" s="1041"/>
      <c r="E40" s="1041"/>
      <c r="F40" s="1041"/>
    </row>
    <row r="41" spans="1:7" s="1036" customFormat="1" ht="15.75">
      <c r="A41" s="1040"/>
      <c r="B41" s="1039" t="s">
        <v>1285</v>
      </c>
      <c r="C41" s="1038">
        <f>C40</f>
        <v>56169.48</v>
      </c>
      <c r="D41" s="1037"/>
      <c r="E41" s="1037">
        <f>C41/12</f>
        <v>4680.79</v>
      </c>
      <c r="F41" s="1058">
        <v>0.25</v>
      </c>
      <c r="G41" s="1012">
        <f>E41/F41</f>
        <v>18723.16</v>
      </c>
    </row>
    <row r="42" spans="1:7" s="1036" customFormat="1" ht="22.5" customHeight="1">
      <c r="A42" s="1040"/>
      <c r="B42" s="1039"/>
      <c r="C42" s="1038"/>
      <c r="D42" s="1037"/>
      <c r="E42" s="1037"/>
      <c r="F42" s="1041"/>
    </row>
    <row r="43" spans="1:7" s="1063" customFormat="1" ht="16.5" customHeight="1">
      <c r="A43" s="1068"/>
      <c r="B43" s="1067" t="s">
        <v>1286</v>
      </c>
      <c r="C43" s="1066" t="s">
        <v>1276</v>
      </c>
      <c r="D43" s="1065"/>
      <c r="E43" s="1065"/>
      <c r="F43" s="1070"/>
    </row>
    <row r="44" spans="1:7" s="1012" customFormat="1" ht="20.25" customHeight="1">
      <c r="A44" s="1060"/>
      <c r="B44" s="1415" t="s">
        <v>1277</v>
      </c>
      <c r="C44" s="1043">
        <f ca="1">'ВР211(т.2.1) штат. 01.01.18'!H56+'ВР211(т.2.1) штат. 01.01.18'!H57</f>
        <v>4603.5</v>
      </c>
      <c r="D44" s="1415"/>
      <c r="E44" s="1415"/>
      <c r="F44" s="1058"/>
    </row>
    <row r="45" spans="1:7" s="1012" customFormat="1" ht="31.5">
      <c r="A45" s="1060"/>
      <c r="B45" s="1415" t="s">
        <v>1278</v>
      </c>
      <c r="C45" s="1043">
        <f ca="1">'ВР211(т.2.1) штат. 01.01.18'!J56+'ВР211(т.2.1) штат. 01.01.18'!K56+'ВР211(т.2.1) штат. 01.01.18'!L56+'ВР211(т.2.1) штат. 01.01.18'!J57+'ВР211(т.2.1) штат. 01.01.18'!K57+'ВР211(т.2.1) штат. 01.01.18'!L57</f>
        <v>2992.29</v>
      </c>
      <c r="D45" s="1059"/>
      <c r="E45" s="1059"/>
      <c r="F45" s="1058"/>
    </row>
    <row r="46" spans="1:7" s="1046" customFormat="1" ht="51.75" customHeight="1">
      <c r="A46" s="1014"/>
      <c r="B46" s="1016" t="s">
        <v>238</v>
      </c>
      <c r="C46" s="1043">
        <f ca="1">ROUND((C44+C45)*60%,2)+C44+C45</f>
        <v>12153.260000000002</v>
      </c>
      <c r="D46" s="1043"/>
      <c r="E46" s="1043"/>
      <c r="F46" s="1058"/>
      <c r="G46" s="1012"/>
    </row>
    <row r="47" spans="1:7" s="1046" customFormat="1" ht="19.5" customHeight="1">
      <c r="A47" s="954"/>
      <c r="B47" s="1056" t="s">
        <v>1280</v>
      </c>
      <c r="C47" s="1043">
        <f ca="1">C46</f>
        <v>12153.260000000002</v>
      </c>
      <c r="D47" s="1055"/>
      <c r="E47" s="1055"/>
      <c r="F47" s="1058"/>
      <c r="G47" s="1012"/>
    </row>
    <row r="48" spans="1:7" s="1046" customFormat="1" ht="15.75" customHeight="1">
      <c r="A48" s="1053"/>
      <c r="B48" s="1053" t="s">
        <v>1281</v>
      </c>
      <c r="C48" s="1052">
        <f ca="1">'ВР211(т.2.1) штат. 01.01.18'!P113</f>
        <v>14342.55</v>
      </c>
      <c r="D48" s="1051"/>
      <c r="E48" s="1051"/>
      <c r="F48" s="1053"/>
    </row>
    <row r="49" spans="1:9" s="1036" customFormat="1" ht="18.75" customHeight="1">
      <c r="A49" s="1049"/>
      <c r="B49" s="1048" t="s">
        <v>1282</v>
      </c>
      <c r="C49" s="1043">
        <f>ROUND(C47+C48,2)</f>
        <v>26495.81</v>
      </c>
      <c r="D49" s="1041"/>
      <c r="E49" s="1041"/>
      <c r="F49" s="1058" t="s">
        <v>434</v>
      </c>
      <c r="G49" s="1012"/>
    </row>
    <row r="50" spans="1:9" s="1036" customFormat="1" ht="21" customHeight="1">
      <c r="A50" s="1024"/>
      <c r="B50" s="1024" t="s">
        <v>1662</v>
      </c>
      <c r="C50" s="1043">
        <f>ROUND(C47*12,2)</f>
        <v>145839.12</v>
      </c>
      <c r="D50" s="1041"/>
      <c r="E50" s="1041"/>
      <c r="F50" s="1041"/>
    </row>
    <row r="51" spans="1:9" s="1036" customFormat="1" ht="18.75" customHeight="1">
      <c r="A51" s="1024"/>
      <c r="B51" s="1024" t="s">
        <v>1663</v>
      </c>
      <c r="C51" s="1043">
        <f>ROUND(C48*12,2)</f>
        <v>172110.6</v>
      </c>
      <c r="D51" s="1041"/>
      <c r="E51" s="1041"/>
      <c r="F51" s="1041"/>
    </row>
    <row r="52" spans="1:9" s="1036" customFormat="1" ht="21.75" customHeight="1">
      <c r="A52" s="1024"/>
      <c r="B52" s="1073" t="s">
        <v>433</v>
      </c>
      <c r="C52" s="1038">
        <f>ROUND(C51+C50,2)</f>
        <v>317949.71999999997</v>
      </c>
      <c r="D52" s="1041"/>
      <c r="E52" s="1037"/>
      <c r="F52" s="1058"/>
      <c r="G52" s="1072"/>
    </row>
    <row r="53" spans="1:9" s="1036" customFormat="1" ht="21" hidden="1" customHeight="1">
      <c r="A53" s="1024"/>
      <c r="B53" s="1024" t="s">
        <v>256</v>
      </c>
      <c r="C53" s="1043">
        <f>ROUND(35059.86/3*0,2)</f>
        <v>0</v>
      </c>
      <c r="D53" s="1041"/>
      <c r="E53" s="1041"/>
      <c r="F53" s="1041"/>
    </row>
    <row r="54" spans="1:9" s="1036" customFormat="1" ht="18.75" hidden="1" customHeight="1">
      <c r="A54" s="1024"/>
      <c r="B54" s="1024" t="s">
        <v>257</v>
      </c>
      <c r="C54" s="1043">
        <f>ROUND(22422.58/3*0,2)</f>
        <v>0</v>
      </c>
      <c r="D54" s="1041"/>
      <c r="E54" s="1041"/>
      <c r="F54" s="1041"/>
    </row>
    <row r="55" spans="1:9" s="1036" customFormat="1" ht="21.75" hidden="1" customHeight="1">
      <c r="A55" s="1024"/>
      <c r="B55" s="1024" t="s">
        <v>258</v>
      </c>
      <c r="C55" s="1038">
        <f>ROUND(C54+C53,2)</f>
        <v>0</v>
      </c>
      <c r="D55" s="1041"/>
      <c r="E55" s="1037"/>
      <c r="F55" s="1058"/>
      <c r="G55" s="1072"/>
    </row>
    <row r="56" spans="1:9" s="1036" customFormat="1" ht="21" hidden="1" customHeight="1">
      <c r="A56" s="1024"/>
      <c r="B56" s="1024" t="s">
        <v>245</v>
      </c>
      <c r="C56" s="1043">
        <f>ROUND(C47*0,2)</f>
        <v>0</v>
      </c>
      <c r="D56" s="1041"/>
      <c r="E56" s="1041"/>
      <c r="F56" s="1029">
        <v>6303.93</v>
      </c>
      <c r="G56" s="1028">
        <v>211</v>
      </c>
      <c r="H56" s="1027" t="s">
        <v>246</v>
      </c>
      <c r="I56" s="954"/>
    </row>
    <row r="57" spans="1:9" s="1036" customFormat="1" ht="18.75" hidden="1" customHeight="1">
      <c r="A57" s="1024"/>
      <c r="B57" s="1024" t="s">
        <v>247</v>
      </c>
      <c r="C57" s="1043">
        <f>ROUND(C48*0,2)</f>
        <v>0</v>
      </c>
      <c r="D57" s="1041"/>
      <c r="E57" s="1041">
        <v>166837.32</v>
      </c>
      <c r="F57" s="933">
        <v>1903.78</v>
      </c>
      <c r="G57" s="1028">
        <v>213</v>
      </c>
      <c r="H57" s="954"/>
      <c r="I57" s="954"/>
    </row>
    <row r="58" spans="1:9" s="1036" customFormat="1" ht="21.75" hidden="1" customHeight="1">
      <c r="A58" s="1024"/>
      <c r="B58" s="1024" t="s">
        <v>248</v>
      </c>
      <c r="C58" s="1038">
        <f>ROUND(C57+C56,2)</f>
        <v>0</v>
      </c>
      <c r="D58" s="1041"/>
      <c r="E58" s="1037">
        <f>E57+F59</f>
        <v>182610.43</v>
      </c>
      <c r="F58" s="902">
        <f>C58/3</f>
        <v>0</v>
      </c>
      <c r="G58" s="954"/>
      <c r="H58" s="954"/>
      <c r="I58" s="954"/>
    </row>
    <row r="59" spans="1:9" s="1036" customFormat="1" ht="15.75">
      <c r="A59" s="1040"/>
      <c r="B59" s="1039" t="s">
        <v>1287</v>
      </c>
      <c r="C59" s="1038">
        <f>C52+C55+C58</f>
        <v>317949.71999999997</v>
      </c>
      <c r="D59" s="1037"/>
      <c r="E59" s="1071">
        <f>E58+F56</f>
        <v>188914.36</v>
      </c>
      <c r="F59" s="1036">
        <v>15773.11</v>
      </c>
      <c r="G59" s="1036" t="s">
        <v>259</v>
      </c>
    </row>
    <row r="60" spans="1:9" s="1036" customFormat="1" ht="27.75" customHeight="1">
      <c r="A60" s="1040"/>
      <c r="B60" s="1039"/>
      <c r="C60" s="1038"/>
      <c r="D60" s="1037"/>
      <c r="E60" s="1037"/>
      <c r="F60" s="1041" t="e">
        <f>C52/12/F52*9</f>
        <v>#DIV/0!</v>
      </c>
    </row>
    <row r="61" spans="1:9" s="1063" customFormat="1" ht="16.5" hidden="1" customHeight="1">
      <c r="A61" s="1068"/>
      <c r="B61" s="1067" t="s">
        <v>1288</v>
      </c>
      <c r="C61" s="1066" t="s">
        <v>1276</v>
      </c>
      <c r="D61" s="1065"/>
      <c r="E61" s="1065"/>
      <c r="F61" s="1070"/>
    </row>
    <row r="62" spans="1:9" s="1012" customFormat="1" ht="20.25" hidden="1" customHeight="1">
      <c r="A62" s="1060"/>
      <c r="B62" s="1415" t="s">
        <v>1277</v>
      </c>
      <c r="C62" s="1043">
        <v>0</v>
      </c>
      <c r="D62" s="1415"/>
      <c r="E62" s="1415"/>
      <c r="F62" s="1058"/>
    </row>
    <row r="63" spans="1:9" s="1012" customFormat="1" ht="31.5" hidden="1">
      <c r="A63" s="1060"/>
      <c r="B63" s="1415" t="s">
        <v>1278</v>
      </c>
      <c r="C63" s="1043">
        <v>0</v>
      </c>
      <c r="D63" s="1059"/>
      <c r="E63" s="1059"/>
      <c r="F63" s="1058"/>
    </row>
    <row r="64" spans="1:9" s="1046" customFormat="1" ht="51.75" hidden="1" customHeight="1">
      <c r="A64" s="1014"/>
      <c r="B64" s="1016" t="s">
        <v>1279</v>
      </c>
      <c r="C64" s="1043">
        <v>0</v>
      </c>
      <c r="D64" s="1043"/>
      <c r="E64" s="1043"/>
      <c r="F64" s="1069"/>
    </row>
    <row r="65" spans="1:9" s="1046" customFormat="1" ht="18.75" hidden="1" customHeight="1">
      <c r="A65" s="954"/>
      <c r="B65" s="1056" t="s">
        <v>1280</v>
      </c>
      <c r="C65" s="1043">
        <v>0</v>
      </c>
      <c r="D65" s="954"/>
      <c r="E65" s="954"/>
      <c r="F65" s="1041"/>
    </row>
    <row r="66" spans="1:9" s="1046" customFormat="1" ht="18.75" hidden="1" customHeight="1">
      <c r="A66" s="1053"/>
      <c r="B66" s="1053" t="s">
        <v>1281</v>
      </c>
      <c r="C66" s="1052">
        <v>0</v>
      </c>
      <c r="D66" s="1051"/>
      <c r="E66" s="1051"/>
      <c r="F66" s="1053"/>
    </row>
    <row r="67" spans="1:9" s="1036" customFormat="1" ht="18.75" hidden="1" customHeight="1">
      <c r="A67" s="1049"/>
      <c r="B67" s="1048" t="s">
        <v>1282</v>
      </c>
      <c r="C67" s="1043">
        <f>ROUND(C65+C66,2)</f>
        <v>0</v>
      </c>
      <c r="D67" s="1041"/>
      <c r="E67" s="1041"/>
      <c r="F67" s="1041"/>
    </row>
    <row r="68" spans="1:9" s="1036" customFormat="1" ht="21" hidden="1" customHeight="1">
      <c r="A68" s="1024"/>
      <c r="B68" s="1024" t="s">
        <v>250</v>
      </c>
      <c r="C68" s="1043">
        <f>ROUND(C65*12,2)</f>
        <v>0</v>
      </c>
      <c r="D68" s="1041"/>
      <c r="E68" s="1041"/>
      <c r="F68" s="1041"/>
    </row>
    <row r="69" spans="1:9" s="1036" customFormat="1" ht="18.75" hidden="1" customHeight="1">
      <c r="A69" s="1024"/>
      <c r="B69" s="1024" t="s">
        <v>251</v>
      </c>
      <c r="C69" s="1043">
        <f>ROUND(C66*12,2)</f>
        <v>0</v>
      </c>
      <c r="D69" s="1041"/>
      <c r="E69" s="1041"/>
      <c r="F69" s="1041"/>
    </row>
    <row r="70" spans="1:9" s="1036" customFormat="1" ht="21.75" hidden="1" customHeight="1">
      <c r="A70" s="1024"/>
      <c r="B70" s="1024" t="s">
        <v>252</v>
      </c>
      <c r="C70" s="1038">
        <f>ROUND(C69+C68,2)</f>
        <v>0</v>
      </c>
      <c r="D70" s="1041"/>
      <c r="E70" s="1041"/>
      <c r="F70" s="1041"/>
    </row>
    <row r="71" spans="1:9" s="1036" customFormat="1" ht="15.75" hidden="1">
      <c r="A71" s="1040"/>
      <c r="B71" s="1039" t="s">
        <v>1289</v>
      </c>
      <c r="C71" s="1038">
        <f>C70</f>
        <v>0</v>
      </c>
      <c r="D71" s="1037"/>
      <c r="E71" s="1037"/>
      <c r="F71" s="1041"/>
    </row>
    <row r="72" spans="1:9" s="1036" customFormat="1" ht="25.5" hidden="1" customHeight="1">
      <c r="A72" s="1040"/>
      <c r="B72" s="1039"/>
      <c r="C72" s="1038"/>
      <c r="D72" s="1037"/>
      <c r="E72" s="1037"/>
      <c r="F72" s="1041"/>
    </row>
    <row r="73" spans="1:9" s="1063" customFormat="1" ht="16.5" customHeight="1">
      <c r="A73" s="1068"/>
      <c r="B73" s="1067" t="s">
        <v>1290</v>
      </c>
      <c r="C73" s="1066" t="s">
        <v>1276</v>
      </c>
      <c r="D73" s="1065"/>
      <c r="E73" s="1065"/>
      <c r="F73" s="1062">
        <v>21196.65</v>
      </c>
      <c r="G73" s="1012">
        <v>1</v>
      </c>
      <c r="H73" s="1064">
        <f>F73*G73</f>
        <v>21196.65</v>
      </c>
    </row>
    <row r="74" spans="1:9" s="1012" customFormat="1" ht="18" customHeight="1">
      <c r="A74" s="1060"/>
      <c r="B74" s="1415" t="s">
        <v>1277</v>
      </c>
      <c r="C74" s="1043">
        <f ca="1">'ВР211(т.2.1) штат. 01.01.18'!H41+'ВР211(т.2.1) штат. 01.01.18'!H42+'ВР211(т.2.1) штат. 01.01.18'!H43+'ВР211(т.2.1) штат. 01.01.18'!H44+'ВР211(т.2.1) штат. 01.01.18'!H58+'ВР211(т.2.1) штат. 01.01.18'!H59+'ВР211(т.2.1) штат. 01.01.18'!H60+'ВР211(т.2.1) штат. 01.01.18'!H61+'ВР211(т.2.1) штат. 01.01.18'!H62+'ВР211(т.2.1) штат. 01.01.18'!H63+'ВР211(т.2.1) штат. 01.01.18'!H64+'ВР211(т.2.1) штат. 01.01.18'!H65+'ВР211(т.2.1) штат. 01.01.18'!H66+'ВР211(т.2.1) штат. 01.01.18'!H67+'ВР211(т.2.1) штат. 01.01.18'!H68+'ВР211(т.2.1) штат. 01.01.18'!H69+'ВР211(т.2.1) штат. 01.01.18'!H70+'ВР211(т.2.1) штат. 01.01.18'!H71+'ВР211(т.2.1) штат. 01.01.18'!H72</f>
        <v>157898.04999999999</v>
      </c>
      <c r="D74" s="1415"/>
      <c r="E74" s="1415"/>
      <c r="F74" s="1062">
        <v>21196.65</v>
      </c>
      <c r="G74" s="1012">
        <v>0.25</v>
      </c>
      <c r="H74" s="1061">
        <f>F74*G74</f>
        <v>5299.1625000000004</v>
      </c>
    </row>
    <row r="75" spans="1:9" s="1012" customFormat="1" ht="31.5">
      <c r="A75" s="1060"/>
      <c r="B75" s="1415" t="s">
        <v>1278</v>
      </c>
      <c r="C75" s="1043">
        <f ca="1">'ВР211(т.2.1) штат. 01.01.18'!J41+'ВР211(т.2.1) штат. 01.01.18'!K41+'ВР211(т.2.1) штат. 01.01.18'!L41+'ВР211(т.2.1) штат. 01.01.18'!J42+'ВР211(т.2.1) штат. 01.01.18'!K42+'ВР211(т.2.1) штат. 01.01.18'!L42+'ВР211(т.2.1) штат. 01.01.18'!J43+'ВР211(т.2.1) штат. 01.01.18'!K43+'ВР211(т.2.1) штат. 01.01.18'!L43+'ВР211(т.2.1) штат. 01.01.18'!I44+'ВР211(т.2.1) штат. 01.01.18'!J44+'ВР211(т.2.1) штат. 01.01.18'!K44+'ВР211(т.2.1) штат. 01.01.18'!L44+'ВР211(т.2.1) штат. 01.01.18'!J58+'ВР211(т.2.1) штат. 01.01.18'!K58+'ВР211(т.2.1) штат. 01.01.18'!L58+'ВР211(т.2.1) штат. 01.01.18'!J59+'ВР211(т.2.1) штат. 01.01.18'!K59+'ВР211(т.2.1) штат. 01.01.18'!L59+'ВР211(т.2.1) штат. 01.01.18'!J60+'ВР211(т.2.1) штат. 01.01.18'!K60+'ВР211(т.2.1) штат. 01.01.18'!L60+'ВР211(т.2.1) штат. 01.01.18'!I61+'ВР211(т.2.1) штат. 01.01.18'!J61+'ВР211(т.2.1) штат. 01.01.18'!K61+'ВР211(т.2.1) штат. 01.01.18'!L61+'ВР211(т.2.1) штат. 01.01.18'!O61+'ВР211(т.2.1) штат. 01.01.18'!J62+'ВР211(т.2.1) штат. 01.01.18'!K62+'ВР211(т.2.1) штат. 01.01.18'!L62+'ВР211(т.2.1) штат. 01.01.18'!O62+'ВР211(т.2.1) штат. 01.01.18'!J63+'ВР211(т.2.1) штат. 01.01.18'!K63+'ВР211(т.2.1) штат. 01.01.18'!L63+'ВР211(т.2.1) штат. 01.01.18'!O63+'ВР211(т.2.1) штат. 01.01.18'!J64+'ВР211(т.2.1) штат. 01.01.18'!K64+'ВР211(т.2.1) штат. 01.01.18'!L64+'ВР211(т.2.1) штат. 01.01.18'!J65+'ВР211(т.2.1) штат. 01.01.18'!K65+'ВР211(т.2.1) штат. 01.01.18'!L65+'ВР211(т.2.1) штат. 01.01.18'!J66+'ВР211(т.2.1) штат. 01.01.18'!K66+'ВР211(т.2.1) штат. 01.01.18'!L66+'ВР211(т.2.1) штат. 01.01.18'!O66+'ВР211(т.2.1) штат. 01.01.18'!J67+'ВР211(т.2.1) штат. 01.01.18'!K67+'ВР211(т.2.1) штат. 01.01.18'!L67+'ВР211(т.2.1) штат. 01.01.18'!J68+'ВР211(т.2.1) штат. 01.01.18'!K68+'ВР211(т.2.1) штат. 01.01.18'!L68+'ВР211(т.2.1) штат. 01.01.18'!O68+'ВР211(т.2.1) штат. 01.01.18'!J69+'ВР211(т.2.1) штат. 01.01.18'!K69+'ВР211(т.2.1) штат. 01.01.18'!L69+'ВР211(т.2.1) штат. 01.01.18'!J70+'ВР211(т.2.1) штат. 01.01.18'!K70+'ВР211(т.2.1) штат. 01.01.18'!L70+'ВР211(т.2.1) штат. 01.01.18'!J71+'ВР211(т.2.1) штат. 01.01.18'!K71+'ВР211(т.2.1) штат. 01.01.18'!L71+'ВР211(т.2.1) штат. 01.01.18'!J72+'ВР211(т.2.1) штат. 01.01.18'!K72+'ВР211(т.2.1) штат. 01.01.18'!L72</f>
        <v>107253.67000000003</v>
      </c>
      <c r="D75" s="1059"/>
      <c r="E75" s="1059"/>
      <c r="F75" s="1058"/>
      <c r="H75" s="1054">
        <f>SUM(H73:H74)</f>
        <v>26495.8125</v>
      </c>
      <c r="I75" s="1012" t="s">
        <v>432</v>
      </c>
    </row>
    <row r="76" spans="1:9" s="1046" customFormat="1" ht="51.75" customHeight="1">
      <c r="A76" s="1014"/>
      <c r="B76" s="1016" t="s">
        <v>238</v>
      </c>
      <c r="C76" s="1043">
        <f ca="1">ROUND((C74+C75)*60%,2)+C74+C75</f>
        <v>424242.75</v>
      </c>
      <c r="D76" s="1043"/>
      <c r="E76" s="1043"/>
      <c r="F76" s="1057" t="e">
        <f>F60+H76</f>
        <v>#DIV/0!</v>
      </c>
      <c r="H76" s="1054">
        <f>H75*3</f>
        <v>79487.4375</v>
      </c>
      <c r="I76" s="1046" t="s">
        <v>431</v>
      </c>
    </row>
    <row r="77" spans="1:9" s="1046" customFormat="1" ht="23.25" customHeight="1">
      <c r="A77" s="954"/>
      <c r="B77" s="1056" t="s">
        <v>1280</v>
      </c>
      <c r="C77" s="1043">
        <f ca="1">C76</f>
        <v>424242.75</v>
      </c>
      <c r="D77" s="1055"/>
      <c r="E77" s="1055"/>
      <c r="F77" s="1047"/>
      <c r="H77" s="1054">
        <f>C52</f>
        <v>317949.71999999997</v>
      </c>
      <c r="I77" s="1046" t="s">
        <v>430</v>
      </c>
    </row>
    <row r="78" spans="1:9" s="1046" customFormat="1" ht="15.75" customHeight="1">
      <c r="A78" s="1053"/>
      <c r="B78" s="1053" t="s">
        <v>1281</v>
      </c>
      <c r="C78" s="1052">
        <f ca="1">'ВР211(т.2.1) штат. 01.01.18'!P131</f>
        <v>184184.37</v>
      </c>
      <c r="D78" s="1051"/>
      <c r="E78" s="1051"/>
      <c r="F78" s="1047"/>
      <c r="H78" s="1050">
        <f>H76+H77</f>
        <v>397437.15749999997</v>
      </c>
    </row>
    <row r="79" spans="1:9" s="1036" customFormat="1" ht="18.75" customHeight="1">
      <c r="A79" s="1049"/>
      <c r="B79" s="1048" t="s">
        <v>1282</v>
      </c>
      <c r="C79" s="1043">
        <f>ROUND(C77+C78,2)</f>
        <v>608427.12</v>
      </c>
      <c r="D79" s="1041"/>
      <c r="E79" s="1041"/>
      <c r="F79" s="1047"/>
      <c r="G79" s="1046"/>
      <c r="H79" s="1045">
        <f>H78-C59</f>
        <v>79487.4375</v>
      </c>
    </row>
    <row r="80" spans="1:9" s="1036" customFormat="1" ht="21" customHeight="1">
      <c r="A80" s="1024"/>
      <c r="B80" s="1024" t="s">
        <v>1662</v>
      </c>
      <c r="C80" s="1043">
        <f>ROUND(C77*12,2)</f>
        <v>5090913</v>
      </c>
      <c r="D80" s="1041"/>
      <c r="E80" s="1041"/>
      <c r="F80" s="1041"/>
    </row>
    <row r="81" spans="1:9" s="1036" customFormat="1" ht="18.75" customHeight="1">
      <c r="A81" s="1024"/>
      <c r="B81" s="1024" t="s">
        <v>1663</v>
      </c>
      <c r="C81" s="1043">
        <f>ROUND(C78*12,2)</f>
        <v>2210212.44</v>
      </c>
      <c r="D81" s="1041"/>
      <c r="E81" s="1041" t="s">
        <v>429</v>
      </c>
      <c r="F81" s="1041"/>
    </row>
    <row r="82" spans="1:9" s="1036" customFormat="1" ht="21.75" customHeight="1">
      <c r="A82" s="1024"/>
      <c r="B82" s="1073" t="s">
        <v>433</v>
      </c>
      <c r="C82" s="1038">
        <f>ROUND(C81+C80,2)</f>
        <v>7301125.4400000004</v>
      </c>
      <c r="D82" s="1041"/>
      <c r="E82" s="1041">
        <f>C93-E93</f>
        <v>301082.90000000037</v>
      </c>
      <c r="F82" s="1041"/>
    </row>
    <row r="83" spans="1:9" s="1036" customFormat="1" ht="21" hidden="1" customHeight="1">
      <c r="A83" s="1024"/>
      <c r="B83" s="1024" t="s">
        <v>260</v>
      </c>
      <c r="C83" s="1043">
        <f>ROUND(1720486.12/4*0,2)</f>
        <v>0</v>
      </c>
      <c r="D83" s="1041"/>
      <c r="E83" s="1041"/>
      <c r="F83" s="1041"/>
    </row>
    <row r="84" spans="1:9" s="1036" customFormat="1" ht="18.75" hidden="1" customHeight="1">
      <c r="A84" s="1024"/>
      <c r="B84" s="1024" t="s">
        <v>261</v>
      </c>
      <c r="C84" s="1043">
        <f>ROUND(555515.64/4*0,2)</f>
        <v>0</v>
      </c>
      <c r="D84" s="1041"/>
      <c r="E84" s="1041"/>
      <c r="F84" s="1041"/>
    </row>
    <row r="85" spans="1:9" s="1036" customFormat="1" ht="21.75" hidden="1" customHeight="1">
      <c r="A85" s="1024"/>
      <c r="B85" s="1024" t="s">
        <v>262</v>
      </c>
      <c r="C85" s="1038">
        <f>ROUND(C84+C83,2)</f>
        <v>0</v>
      </c>
      <c r="D85" s="1041"/>
      <c r="E85" s="1041"/>
      <c r="F85" s="1041"/>
    </row>
    <row r="86" spans="1:9" s="1036" customFormat="1" ht="39.75" hidden="1" customHeight="1">
      <c r="A86" s="1024"/>
      <c r="B86" s="1044" t="s">
        <v>263</v>
      </c>
      <c r="C86" s="1043"/>
      <c r="D86" s="1041"/>
      <c r="E86" s="1041"/>
      <c r="F86" s="1041"/>
    </row>
    <row r="87" spans="1:9" s="1036" customFormat="1" ht="21" hidden="1" customHeight="1">
      <c r="A87" s="1024"/>
      <c r="B87" s="1024" t="s">
        <v>264</v>
      </c>
      <c r="C87" s="1043">
        <f>ROUND(812638.61/2*0,2)</f>
        <v>0</v>
      </c>
      <c r="D87" s="1041"/>
      <c r="E87" s="1041"/>
      <c r="F87" s="1041"/>
    </row>
    <row r="88" spans="1:9" s="1036" customFormat="1" ht="18.75" hidden="1" customHeight="1">
      <c r="A88" s="1024"/>
      <c r="B88" s="1024" t="s">
        <v>265</v>
      </c>
      <c r="C88" s="1043">
        <f>ROUND(325362.29/2*0,2)</f>
        <v>0</v>
      </c>
      <c r="D88" s="1041"/>
      <c r="E88" s="1041"/>
      <c r="F88" s="1041"/>
    </row>
    <row r="89" spans="1:9" s="1036" customFormat="1" ht="21.75" hidden="1" customHeight="1">
      <c r="A89" s="1024"/>
      <c r="B89" s="1024" t="s">
        <v>266</v>
      </c>
      <c r="C89" s="1038">
        <f>ROUND(C88+C87,2)</f>
        <v>0</v>
      </c>
      <c r="D89" s="1041"/>
      <c r="E89" s="1041"/>
      <c r="F89" s="1041"/>
    </row>
    <row r="90" spans="1:9" s="1036" customFormat="1" ht="21" hidden="1" customHeight="1">
      <c r="A90" s="1024"/>
      <c r="B90" s="1024" t="s">
        <v>245</v>
      </c>
      <c r="C90" s="1043">
        <f>ROUND(C77*0,2)</f>
        <v>0</v>
      </c>
      <c r="D90" s="1041"/>
      <c r="E90" s="1041"/>
      <c r="F90" s="1029">
        <v>172037.15</v>
      </c>
      <c r="G90" s="1028">
        <v>211</v>
      </c>
      <c r="H90" s="1027" t="s">
        <v>267</v>
      </c>
      <c r="I90" s="1031"/>
    </row>
    <row r="91" spans="1:9" s="1036" customFormat="1" ht="18.75" hidden="1" customHeight="1">
      <c r="A91" s="1024"/>
      <c r="B91" s="1024" t="s">
        <v>247</v>
      </c>
      <c r="C91" s="1043">
        <f>ROUND(C78*0,2)</f>
        <v>0</v>
      </c>
      <c r="D91" s="1041"/>
      <c r="E91" s="1041"/>
      <c r="F91" s="933">
        <v>51955.22</v>
      </c>
      <c r="G91" s="1028">
        <v>213</v>
      </c>
      <c r="H91" s="954"/>
      <c r="I91" s="954"/>
    </row>
    <row r="92" spans="1:9" s="1036" customFormat="1" ht="21.75" hidden="1" customHeight="1">
      <c r="A92" s="1024"/>
      <c r="B92" s="1024" t="s">
        <v>248</v>
      </c>
      <c r="C92" s="1038">
        <f>ROUND(C91+C90,2)</f>
        <v>0</v>
      </c>
      <c r="D92" s="1041"/>
      <c r="E92" s="1041">
        <v>6828005.3899999997</v>
      </c>
      <c r="F92" s="933">
        <f>SUM(F90:F91)</f>
        <v>223992.37</v>
      </c>
      <c r="G92" s="954"/>
      <c r="H92" s="1042"/>
      <c r="I92" s="1042"/>
    </row>
    <row r="93" spans="1:9" s="1036" customFormat="1" ht="15.75">
      <c r="A93" s="1040"/>
      <c r="B93" s="1039" t="s">
        <v>1291</v>
      </c>
      <c r="C93" s="1038">
        <f>C82+C86+C85+C89+C92</f>
        <v>7301125.4400000004</v>
      </c>
      <c r="D93" s="1037"/>
      <c r="E93" s="1037">
        <f>E92+F90</f>
        <v>7000042.54</v>
      </c>
      <c r="F93" s="1041"/>
    </row>
    <row r="94" spans="1:9" s="1036" customFormat="1" ht="22.5" customHeight="1">
      <c r="A94" s="1040"/>
      <c r="B94" s="1039" t="s">
        <v>356</v>
      </c>
      <c r="C94" s="1038">
        <f>C29+C41+C59+C93</f>
        <v>17313755.760000002</v>
      </c>
      <c r="D94" s="1037"/>
      <c r="E94" s="1037">
        <v>15271313.27</v>
      </c>
      <c r="F94" s="1036">
        <v>15773.11</v>
      </c>
      <c r="G94" s="1036" t="s">
        <v>259</v>
      </c>
    </row>
    <row r="95" spans="1:9" s="1030" customFormat="1" ht="19.5" customHeight="1">
      <c r="A95" s="1035"/>
      <c r="B95" s="1034"/>
      <c r="C95" s="1033">
        <v>89870788.75</v>
      </c>
      <c r="D95" s="1032"/>
      <c r="E95" s="1032">
        <f>E94+F94+F95+F96</f>
        <v>15487832.24</v>
      </c>
      <c r="F95" s="1029">
        <v>172037.15</v>
      </c>
      <c r="G95" s="1028">
        <v>211</v>
      </c>
      <c r="H95" s="1027" t="s">
        <v>267</v>
      </c>
      <c r="I95" s="1031"/>
    </row>
    <row r="96" spans="1:9" s="1012" customFormat="1" ht="18.75" customHeight="1">
      <c r="A96" s="1021"/>
      <c r="B96" s="1024" t="s">
        <v>1039</v>
      </c>
      <c r="C96" s="1023"/>
      <c r="D96" s="1022" t="s">
        <v>1344</v>
      </c>
      <c r="E96" s="1018"/>
      <c r="F96" s="1029">
        <f>F56+F25</f>
        <v>28708.71</v>
      </c>
      <c r="G96" s="1028">
        <v>211</v>
      </c>
      <c r="H96" s="1027" t="s">
        <v>246</v>
      </c>
      <c r="I96" s="954"/>
    </row>
    <row r="97" spans="1:7" s="1012" customFormat="1" ht="18.75" customHeight="1">
      <c r="A97" s="1021"/>
      <c r="B97" s="1014"/>
      <c r="C97" s="1020" t="s">
        <v>427</v>
      </c>
      <c r="D97" s="1019" t="s">
        <v>1847</v>
      </c>
      <c r="E97" s="1026"/>
      <c r="F97" s="1025"/>
    </row>
    <row r="98" spans="1:7" s="1012" customFormat="1" ht="36" hidden="1" customHeight="1">
      <c r="A98" s="1021"/>
      <c r="B98" s="1024" t="s">
        <v>428</v>
      </c>
      <c r="C98" s="1023"/>
      <c r="D98" s="1022" t="s">
        <v>359</v>
      </c>
      <c r="E98" s="1018"/>
      <c r="F98" s="1017"/>
      <c r="G98" s="1018"/>
    </row>
    <row r="99" spans="1:7" s="1012" customFormat="1" ht="18.75" hidden="1" customHeight="1">
      <c r="A99" s="1021"/>
      <c r="B99" s="1014"/>
      <c r="C99" s="1020" t="s">
        <v>427</v>
      </c>
      <c r="D99" s="1019" t="s">
        <v>1847</v>
      </c>
      <c r="E99" s="1018"/>
      <c r="F99" s="1017"/>
      <c r="G99" s="1018"/>
    </row>
    <row r="100" spans="1:7" s="1012" customFormat="1" ht="24" customHeight="1">
      <c r="A100" s="1014"/>
      <c r="B100" s="700" t="s">
        <v>1076</v>
      </c>
      <c r="C100" s="790"/>
      <c r="D100" s="792" t="s">
        <v>1245</v>
      </c>
      <c r="E100" s="1015"/>
      <c r="F100" s="1014"/>
      <c r="G100" s="1015"/>
    </row>
    <row r="101" spans="1:7" ht="15">
      <c r="B101" s="784"/>
      <c r="C101" s="784" t="s">
        <v>1078</v>
      </c>
      <c r="D101" s="784" t="s">
        <v>1079</v>
      </c>
    </row>
    <row r="102" spans="1:7" s="1012" customFormat="1">
      <c r="B102" s="1013"/>
    </row>
  </sheetData>
  <mergeCells count="7">
    <mergeCell ref="A2:C2"/>
    <mergeCell ref="A3:C3"/>
    <mergeCell ref="B8:C8"/>
    <mergeCell ref="B10:C10"/>
    <mergeCell ref="B6:C6"/>
    <mergeCell ref="B7:C7"/>
    <mergeCell ref="B9:C9"/>
  </mergeCells>
  <phoneticPr fontId="116" type="noConversion"/>
  <pageMargins left="0.39370078740157483" right="0.39370078740157483" top="0.39370078740157483" bottom="0.19685039370078741" header="0.31496062992125984" footer="0.19685039370078741"/>
  <pageSetup paperSize="9" scale="70" orientation="portrait" verticalDpi="300" r:id="rId1"/>
</worksheet>
</file>

<file path=xl/worksheets/sheet19.xml><?xml version="1.0" encoding="utf-8"?>
<worksheet xmlns="http://schemas.openxmlformats.org/spreadsheetml/2006/main" xmlns:r="http://schemas.openxmlformats.org/officeDocument/2006/relationships">
  <sheetPr codeName="Лист4">
    <pageSetUpPr autoPageBreaks="0"/>
  </sheetPr>
  <dimension ref="A1:L20"/>
  <sheetViews>
    <sheetView topLeftCell="B1" zoomScaleNormal="100" zoomScaleSheetLayoutView="91" workbookViewId="0">
      <selection activeCell="I7" sqref="I7"/>
    </sheetView>
  </sheetViews>
  <sheetFormatPr defaultRowHeight="15.75"/>
  <cols>
    <col min="1" max="1" width="4.140625" style="207" customWidth="1"/>
    <col min="2" max="2" width="21" style="221" customWidth="1"/>
    <col min="3" max="3" width="23" style="221" customWidth="1"/>
    <col min="4" max="4" width="17.5703125" style="221" customWidth="1"/>
    <col min="5" max="5" width="19" style="221" customWidth="1"/>
    <col min="6" max="6" width="15.42578125" style="221" customWidth="1"/>
    <col min="7" max="8" width="10.28515625" style="217" customWidth="1"/>
    <col min="9" max="9" width="16" style="207" customWidth="1"/>
    <col min="10" max="10" width="13.85546875" style="207" customWidth="1"/>
    <col min="11" max="11" width="14.28515625" style="207" customWidth="1"/>
    <col min="12" max="12" width="13.28515625" style="207" customWidth="1"/>
    <col min="13" max="16384" width="9.140625" style="207"/>
  </cols>
  <sheetData>
    <row r="1" spans="1:12">
      <c r="B1" s="207"/>
      <c r="C1" s="207"/>
      <c r="D1" s="207"/>
      <c r="E1" s="207"/>
      <c r="F1" s="207"/>
      <c r="G1" s="207"/>
      <c r="H1" s="207"/>
      <c r="K1" s="208"/>
      <c r="L1" s="209" t="s">
        <v>151</v>
      </c>
    </row>
    <row r="2" spans="1:12" s="224" customFormat="1" ht="39" customHeight="1">
      <c r="A2" s="1758" t="s">
        <v>1378</v>
      </c>
      <c r="B2" s="1758"/>
      <c r="C2" s="1758"/>
      <c r="D2" s="1758"/>
      <c r="E2" s="1758"/>
      <c r="F2" s="1758"/>
      <c r="G2" s="1758"/>
      <c r="H2" s="1758"/>
      <c r="I2" s="1758"/>
      <c r="J2" s="1758"/>
      <c r="K2" s="1758"/>
      <c r="L2" s="1758"/>
    </row>
    <row r="3" spans="1:12">
      <c r="A3" s="210"/>
      <c r="B3" s="210"/>
      <c r="C3" s="210"/>
      <c r="D3" s="210"/>
      <c r="E3" s="210"/>
      <c r="F3" s="210"/>
      <c r="G3" s="210"/>
      <c r="H3" s="210"/>
      <c r="I3" s="210"/>
      <c r="J3" s="210"/>
      <c r="K3" s="210"/>
      <c r="L3" s="210"/>
    </row>
    <row r="4" spans="1:12" s="212" customFormat="1" ht="150.75" customHeight="1">
      <c r="A4" s="211" t="s">
        <v>1267</v>
      </c>
      <c r="B4" s="211" t="s">
        <v>198</v>
      </c>
      <c r="C4" s="211" t="s">
        <v>199</v>
      </c>
      <c r="D4" s="211" t="s">
        <v>200</v>
      </c>
      <c r="E4" s="211" t="s">
        <v>201</v>
      </c>
      <c r="F4" s="211" t="s">
        <v>202</v>
      </c>
      <c r="G4" s="211" t="s">
        <v>93</v>
      </c>
      <c r="H4" s="211" t="s">
        <v>94</v>
      </c>
      <c r="I4" s="211" t="s">
        <v>203</v>
      </c>
      <c r="J4" s="211" t="s">
        <v>204</v>
      </c>
      <c r="K4" s="211" t="s">
        <v>205</v>
      </c>
      <c r="L4" s="211" t="s">
        <v>1389</v>
      </c>
    </row>
    <row r="5" spans="1:12" s="225" customFormat="1">
      <c r="A5" s="211">
        <v>1</v>
      </c>
      <c r="B5" s="211">
        <v>2</v>
      </c>
      <c r="C5" s="211">
        <v>3</v>
      </c>
      <c r="D5" s="211">
        <v>4</v>
      </c>
      <c r="E5" s="211">
        <v>5</v>
      </c>
      <c r="F5" s="211">
        <v>6</v>
      </c>
      <c r="G5" s="211">
        <v>7</v>
      </c>
      <c r="H5" s="211">
        <v>8</v>
      </c>
      <c r="I5" s="211">
        <v>9</v>
      </c>
      <c r="J5" s="211">
        <v>10</v>
      </c>
      <c r="K5" s="211">
        <v>11</v>
      </c>
      <c r="L5" s="211">
        <v>12</v>
      </c>
    </row>
    <row r="6" spans="1:12" s="217" customFormat="1">
      <c r="A6" s="213">
        <v>1</v>
      </c>
      <c r="B6" s="214"/>
      <c r="C6" s="214"/>
      <c r="D6" s="214"/>
      <c r="E6" s="214"/>
      <c r="F6" s="213"/>
      <c r="G6" s="213"/>
      <c r="H6" s="213"/>
      <c r="I6" s="215"/>
      <c r="J6" s="213"/>
      <c r="K6" s="213"/>
      <c r="L6" s="216"/>
    </row>
    <row r="7" spans="1:12" s="217" customFormat="1">
      <c r="A7" s="213">
        <f>A6+1</f>
        <v>2</v>
      </c>
      <c r="B7" s="214"/>
      <c r="C7" s="214"/>
      <c r="D7" s="214"/>
      <c r="E7" s="214"/>
      <c r="F7" s="213"/>
      <c r="G7" s="213"/>
      <c r="H7" s="213"/>
      <c r="I7" s="215"/>
      <c r="J7" s="213"/>
      <c r="K7" s="213"/>
      <c r="L7" s="216"/>
    </row>
    <row r="8" spans="1:12" s="217" customFormat="1">
      <c r="A8" s="213">
        <f t="shared" ref="A8:A13" si="0">A7+1</f>
        <v>3</v>
      </c>
      <c r="B8" s="214"/>
      <c r="C8" s="214"/>
      <c r="D8" s="214"/>
      <c r="E8" s="214"/>
      <c r="F8" s="213"/>
      <c r="G8" s="213"/>
      <c r="H8" s="213"/>
      <c r="I8" s="215"/>
      <c r="J8" s="213"/>
      <c r="K8" s="213"/>
      <c r="L8" s="216"/>
    </row>
    <row r="9" spans="1:12" s="217" customFormat="1">
      <c r="A9" s="213">
        <f t="shared" si="0"/>
        <v>4</v>
      </c>
      <c r="B9" s="214"/>
      <c r="C9" s="214"/>
      <c r="D9" s="214"/>
      <c r="E9" s="214"/>
      <c r="F9" s="213"/>
      <c r="G9" s="213"/>
      <c r="H9" s="213"/>
      <c r="I9" s="215"/>
      <c r="J9" s="213"/>
      <c r="K9" s="213"/>
      <c r="L9" s="216"/>
    </row>
    <row r="10" spans="1:12" s="217" customFormat="1">
      <c r="A10" s="213">
        <f t="shared" si="0"/>
        <v>5</v>
      </c>
      <c r="B10" s="214"/>
      <c r="C10" s="214"/>
      <c r="D10" s="214"/>
      <c r="E10" s="214"/>
      <c r="F10" s="213"/>
      <c r="G10" s="213"/>
      <c r="H10" s="213"/>
      <c r="I10" s="215"/>
      <c r="J10" s="213"/>
      <c r="K10" s="213"/>
      <c r="L10" s="216"/>
    </row>
    <row r="11" spans="1:12" s="217" customFormat="1">
      <c r="A11" s="213">
        <f t="shared" si="0"/>
        <v>6</v>
      </c>
      <c r="B11" s="214"/>
      <c r="C11" s="214"/>
      <c r="D11" s="214"/>
      <c r="E11" s="214"/>
      <c r="F11" s="213"/>
      <c r="G11" s="213"/>
      <c r="H11" s="213"/>
      <c r="I11" s="215"/>
      <c r="J11" s="213"/>
      <c r="K11" s="213"/>
      <c r="L11" s="216"/>
    </row>
    <row r="12" spans="1:12" s="217" customFormat="1">
      <c r="A12" s="213">
        <f t="shared" si="0"/>
        <v>7</v>
      </c>
      <c r="B12" s="214"/>
      <c r="C12" s="214"/>
      <c r="D12" s="214"/>
      <c r="E12" s="214"/>
      <c r="F12" s="213"/>
      <c r="G12" s="213"/>
      <c r="H12" s="213"/>
      <c r="I12" s="215"/>
      <c r="J12" s="213"/>
      <c r="K12" s="213"/>
      <c r="L12" s="216"/>
    </row>
    <row r="13" spans="1:12">
      <c r="A13" s="213">
        <f t="shared" si="0"/>
        <v>8</v>
      </c>
      <c r="B13" s="219"/>
      <c r="C13" s="219"/>
      <c r="D13" s="219"/>
      <c r="E13" s="219"/>
      <c r="F13" s="218"/>
      <c r="G13" s="213"/>
      <c r="H13" s="213"/>
      <c r="I13" s="220"/>
      <c r="J13" s="218"/>
      <c r="K13" s="218"/>
      <c r="L13" s="216"/>
    </row>
    <row r="14" spans="1:12">
      <c r="A14" s="218"/>
      <c r="B14" s="1757" t="s">
        <v>210</v>
      </c>
      <c r="C14" s="1757"/>
      <c r="D14" s="1757"/>
      <c r="E14" s="1757"/>
      <c r="F14" s="1757"/>
      <c r="G14" s="1757"/>
      <c r="H14" s="1757"/>
      <c r="I14" s="215">
        <f>SUM(I6:I13)</f>
        <v>0</v>
      </c>
      <c r="J14" s="215">
        <f>SUM(J6:J13)</f>
        <v>0</v>
      </c>
      <c r="K14" s="215">
        <f>SUM(K6:K13)</f>
        <v>0</v>
      </c>
      <c r="L14" s="215">
        <f>SUM(L6:L13)</f>
        <v>0</v>
      </c>
    </row>
    <row r="15" spans="1:12">
      <c r="I15" s="222"/>
    </row>
    <row r="16" spans="1:12" s="223" customFormat="1">
      <c r="F16" s="222"/>
    </row>
    <row r="17" spans="2:8">
      <c r="B17" s="234" t="s">
        <v>1077</v>
      </c>
      <c r="D17" s="507"/>
      <c r="F17" s="507"/>
      <c r="G17" s="508"/>
      <c r="H17" s="508"/>
    </row>
    <row r="18" spans="2:8">
      <c r="D18" s="217" t="s">
        <v>1078</v>
      </c>
      <c r="F18" s="1759" t="s">
        <v>1079</v>
      </c>
      <c r="G18" s="1759"/>
      <c r="H18" s="1759"/>
    </row>
    <row r="19" spans="2:8">
      <c r="B19" s="505" t="s">
        <v>1076</v>
      </c>
      <c r="D19" s="507"/>
    </row>
    <row r="20" spans="2:8">
      <c r="D20" s="217" t="s">
        <v>1078</v>
      </c>
      <c r="F20" s="1759" t="s">
        <v>1079</v>
      </c>
      <c r="G20" s="1759"/>
      <c r="H20" s="1759"/>
    </row>
  </sheetData>
  <customSheetViews>
    <customSheetView guid="{CA0FB9E2-E541-4C74-BCFE-D75491869B36}">
      <selection activeCell="C26" sqref="C26"/>
      <pageMargins left="0" right="0" top="0.74803149606299213" bottom="0.74803149606299213" header="0.31496062992125984" footer="0.31496062992125984"/>
      <pageSetup paperSize="9" scale="80" orientation="landscape" r:id="rId1"/>
    </customSheetView>
    <customSheetView guid="{F10E3D8B-5892-420A-B023-68C6496D556B}" topLeftCell="B1">
      <selection activeCell="L4" sqref="L4"/>
      <pageMargins left="0" right="0" top="0.74803149606299213" bottom="0.74803149606299213" header="0.31496062992125984" footer="0.31496062992125984"/>
      <pageSetup paperSize="9" scale="80" orientation="landscape" r:id="rId2"/>
    </customSheetView>
    <customSheetView guid="{FE7E58EF-FECC-4DF6-BB75-BA97138CB219}" topLeftCell="B1">
      <selection activeCell="L4" sqref="L4"/>
      <pageMargins left="0" right="0" top="0.74803149606299213" bottom="0.74803149606299213" header="0.31496062992125984" footer="0.31496062992125984"/>
      <pageSetup paperSize="9" scale="80" orientation="landscape" r:id="rId3"/>
    </customSheetView>
    <customSheetView guid="{43136B00-66C6-4289-99D3-5EF20611F834}" scale="91" showPageBreaks="1" view="pageBreakPreview">
      <selection activeCell="F26" sqref="F26"/>
      <pageMargins left="0" right="0" top="0.74803149606299213" bottom="0.74803149606299213" header="0.31496062992125984" footer="0.31496062992125984"/>
      <pageSetup paperSize="9" scale="80" orientation="landscape" r:id="rId4"/>
    </customSheetView>
    <customSheetView guid="{22820B9F-10DE-4629-AF3D-4AF98A9BCEDB}">
      <selection activeCell="A17" sqref="A17:IV20"/>
      <pageMargins left="0" right="0" top="0.74803149606299213" bottom="0.74803149606299213" header="0.31496062992125984" footer="0.31496062992125984"/>
      <pageSetup paperSize="9" scale="80" orientation="landscape" r:id="rId5"/>
    </customSheetView>
  </customSheetViews>
  <mergeCells count="4">
    <mergeCell ref="B14:H14"/>
    <mergeCell ref="A2:L2"/>
    <mergeCell ref="F18:H18"/>
    <mergeCell ref="F20:H20"/>
  </mergeCells>
  <phoneticPr fontId="116" type="noConversion"/>
  <pageMargins left="0" right="0" top="0.74803149606299213" bottom="0.74803149606299213" header="0.31496062992125984" footer="0.31496062992125984"/>
  <pageSetup paperSize="9" scale="80" orientation="landscape" r:id="rId6"/>
</worksheet>
</file>

<file path=xl/worksheets/sheet2.xml><?xml version="1.0" encoding="utf-8"?>
<worksheet xmlns="http://schemas.openxmlformats.org/spreadsheetml/2006/main" xmlns:r="http://schemas.openxmlformats.org/officeDocument/2006/relationships">
  <sheetPr>
    <tabColor rgb="FF00FF00"/>
  </sheetPr>
  <dimension ref="A1:L20"/>
  <sheetViews>
    <sheetView view="pageBreakPreview" topLeftCell="A7" zoomScale="90" zoomScaleNormal="100" zoomScaleSheetLayoutView="90" workbookViewId="0">
      <selection activeCell="C12" sqref="C12"/>
    </sheetView>
  </sheetViews>
  <sheetFormatPr defaultRowHeight="15.75"/>
  <cols>
    <col min="1" max="1" width="3.85546875" style="234" customWidth="1"/>
    <col min="2" max="2" width="37" style="234" customWidth="1"/>
    <col min="3" max="3" width="33.5703125" style="234" customWidth="1"/>
    <col min="4" max="4" width="31.28515625" style="234" customWidth="1"/>
    <col min="5" max="5" width="27" style="234" customWidth="1"/>
    <col min="6" max="16384" width="9.140625" style="234"/>
  </cols>
  <sheetData>
    <row r="1" spans="1:8" s="26" customFormat="1" ht="148.5" customHeight="1">
      <c r="A1" s="161"/>
      <c r="B1" s="161"/>
      <c r="C1" s="161"/>
      <c r="D1" s="1463" t="s">
        <v>269</v>
      </c>
      <c r="E1" s="1463"/>
      <c r="F1" s="161"/>
      <c r="G1" s="116"/>
      <c r="H1" s="116"/>
    </row>
    <row r="2" spans="1:8" ht="34.700000000000003" customHeight="1"/>
    <row r="3" spans="1:8" ht="13.5" customHeight="1">
      <c r="B3" s="1462" t="s">
        <v>162</v>
      </c>
      <c r="C3" s="1462"/>
      <c r="D3" s="1462"/>
      <c r="E3" s="1462"/>
    </row>
    <row r="4" spans="1:8">
      <c r="B4" s="1464" t="s">
        <v>163</v>
      </c>
      <c r="C4" s="1464"/>
      <c r="D4" s="1464"/>
      <c r="E4" s="1464"/>
    </row>
    <row r="5" spans="1:8" ht="18.75" customHeight="1">
      <c r="B5" s="1464"/>
      <c r="C5" s="1464"/>
      <c r="D5" s="1464"/>
      <c r="E5" s="1464"/>
    </row>
    <row r="6" spans="1:8" ht="39.75" customHeight="1">
      <c r="B6" s="1465" t="s">
        <v>1042</v>
      </c>
      <c r="C6" s="1465"/>
      <c r="D6" s="1465"/>
      <c r="E6" s="1465"/>
    </row>
    <row r="7" spans="1:8">
      <c r="B7" s="1462" t="s">
        <v>164</v>
      </c>
      <c r="C7" s="1462"/>
      <c r="D7" s="1462"/>
      <c r="E7" s="1462"/>
    </row>
    <row r="8" spans="1:8" ht="32.25" customHeight="1">
      <c r="B8" s="1461" t="s">
        <v>127</v>
      </c>
      <c r="C8" s="1461"/>
      <c r="D8" s="1461"/>
      <c r="E8" s="1461"/>
    </row>
    <row r="9" spans="1:8" s="434" customFormat="1" ht="29.25" customHeight="1">
      <c r="B9" s="615" t="s">
        <v>1130</v>
      </c>
      <c r="C9" s="615"/>
      <c r="D9" s="615"/>
      <c r="E9" s="615"/>
    </row>
    <row r="10" spans="1:8">
      <c r="B10" s="1462" t="s">
        <v>165</v>
      </c>
      <c r="C10" s="1462"/>
      <c r="D10" s="1462"/>
      <c r="E10" s="1462"/>
    </row>
    <row r="11" spans="1:8">
      <c r="B11" s="458"/>
    </row>
    <row r="12" spans="1:8" ht="87" customHeight="1">
      <c r="B12" s="334" t="s">
        <v>166</v>
      </c>
      <c r="C12" s="334" t="s">
        <v>167</v>
      </c>
      <c r="D12" s="334" t="s">
        <v>168</v>
      </c>
      <c r="E12" s="334" t="s">
        <v>169</v>
      </c>
    </row>
    <row r="13" spans="1:8" ht="66" customHeight="1">
      <c r="B13" s="231" t="s">
        <v>1128</v>
      </c>
      <c r="C13" s="231"/>
      <c r="D13" s="114"/>
      <c r="E13" s="114"/>
    </row>
    <row r="14" spans="1:8" ht="67.5" customHeight="1">
      <c r="B14" s="231" t="s">
        <v>1129</v>
      </c>
      <c r="C14" s="231"/>
      <c r="D14" s="115"/>
      <c r="E14" s="115"/>
    </row>
    <row r="15" spans="1:8">
      <c r="B15" s="459" t="s">
        <v>77</v>
      </c>
    </row>
    <row r="16" spans="1:8">
      <c r="B16" s="458"/>
    </row>
    <row r="17" spans="1:12" s="207" customFormat="1">
      <c r="A17" s="434"/>
      <c r="B17" s="434"/>
      <c r="C17" s="311"/>
      <c r="D17" s="311"/>
      <c r="E17" s="311"/>
      <c r="F17" s="311"/>
      <c r="G17" s="311"/>
      <c r="H17" s="509"/>
      <c r="I17" s="509"/>
      <c r="J17" s="311"/>
      <c r="K17" s="311"/>
      <c r="L17" s="311"/>
    </row>
    <row r="18" spans="1:12" s="207" customFormat="1" ht="31.5" customHeight="1">
      <c r="A18" s="311"/>
      <c r="B18" s="311"/>
      <c r="C18" s="510"/>
      <c r="D18" s="510"/>
      <c r="E18" s="510"/>
      <c r="F18" s="510"/>
      <c r="G18" s="510"/>
      <c r="H18" s="509"/>
      <c r="I18" s="509"/>
      <c r="J18" s="510"/>
      <c r="K18" s="510"/>
      <c r="L18" s="510"/>
    </row>
    <row r="19" spans="1:12" s="207" customFormat="1">
      <c r="A19" s="434"/>
      <c r="B19" s="434"/>
      <c r="C19" s="311"/>
      <c r="D19" s="311"/>
      <c r="E19" s="311"/>
      <c r="F19" s="311"/>
      <c r="G19" s="311"/>
      <c r="H19" s="509"/>
      <c r="I19" s="509"/>
      <c r="J19" s="311"/>
      <c r="K19" s="311"/>
      <c r="L19" s="311"/>
    </row>
    <row r="20" spans="1:12" s="207" customFormat="1" ht="31.5" customHeight="1">
      <c r="A20" s="509"/>
      <c r="B20" s="311"/>
      <c r="C20" s="510"/>
      <c r="D20" s="510"/>
      <c r="E20" s="510"/>
      <c r="F20" s="510"/>
      <c r="G20" s="510"/>
      <c r="H20" s="509"/>
      <c r="I20" s="509"/>
      <c r="J20" s="510"/>
      <c r="K20" s="510"/>
      <c r="L20" s="510"/>
    </row>
  </sheetData>
  <customSheetViews>
    <customSheetView guid="{CA0FB9E2-E541-4C74-BCFE-D75491869B36}">
      <selection activeCell="N23" sqref="N23"/>
      <pageMargins left="0.51181102362204722" right="0.11811023622047245" top="0.74803149606299213" bottom="0.74803149606299213" header="0.31496062992125984" footer="0.31496062992125984"/>
      <pageSetup paperSize="9" scale="75" orientation="portrait" horizontalDpi="4294967295" verticalDpi="4294967295" r:id="rId1"/>
    </customSheetView>
    <customSheetView guid="{F10E3D8B-5892-420A-B023-68C6496D556B}">
      <selection activeCell="N23" sqref="N23"/>
      <pageMargins left="0.51181102362204722" right="0.11811023622047245" top="0.74803149606299213" bottom="0.74803149606299213" header="0.31496062992125984" footer="0.31496062992125984"/>
      <pageSetup paperSize="9" scale="75" orientation="portrait" horizontalDpi="4294967295" verticalDpi="4294967295" r:id="rId2"/>
    </customSheetView>
    <customSheetView guid="{43136B00-66C6-4289-99D3-5EF20611F834}">
      <selection activeCell="A17" sqref="A17:IV20"/>
      <pageMargins left="0.51181102362204722" right="0.11811023622047245" top="0.74803149606299213" bottom="0.74803149606299213" header="0.31496062992125984" footer="0.31496062992125984"/>
      <pageSetup paperSize="9" scale="75" orientation="portrait" horizontalDpi="4294967295" verticalDpi="4294967295" r:id="rId3"/>
    </customSheetView>
    <customSheetView guid="{22820B9F-10DE-4629-AF3D-4AF98A9BCEDB}">
      <selection activeCell="M13" sqref="M13"/>
      <pageMargins left="0.51181102362204722" right="0.11811023622047245" top="0.74803149606299213" bottom="0.74803149606299213" header="0.31496062992125984" footer="0.31496062992125984"/>
      <pageSetup paperSize="9" scale="75" orientation="portrait" horizontalDpi="4294967295" verticalDpi="4294967295" r:id="rId4"/>
    </customSheetView>
  </customSheetViews>
  <mergeCells count="7">
    <mergeCell ref="B8:E8"/>
    <mergeCell ref="B10:E10"/>
    <mergeCell ref="D1:E1"/>
    <mergeCell ref="B3:E3"/>
    <mergeCell ref="B4:E5"/>
    <mergeCell ref="B6:E6"/>
    <mergeCell ref="B7:E7"/>
  </mergeCells>
  <phoneticPr fontId="116" type="noConversion"/>
  <pageMargins left="0.51181102362204722" right="0.11811023622047245" top="0.74803149606299213" bottom="0.74803149606299213" header="0.31496062992125984" footer="0.31496062992125984"/>
  <pageSetup paperSize="9" scale="72" orientation="portrait" horizontalDpi="4294967295" verticalDpi="4294967295" r:id="rId5"/>
</worksheet>
</file>

<file path=xl/worksheets/sheet20.xml><?xml version="1.0" encoding="utf-8"?>
<worksheet xmlns="http://schemas.openxmlformats.org/spreadsheetml/2006/main" xmlns:r="http://schemas.openxmlformats.org/officeDocument/2006/relationships">
  <sheetPr codeName="Лист5">
    <tabColor rgb="FF00B0F0"/>
  </sheetPr>
  <dimension ref="A1:K19"/>
  <sheetViews>
    <sheetView view="pageBreakPreview" topLeftCell="A7" zoomScale="98" zoomScaleNormal="100" zoomScaleSheetLayoutView="98" workbookViewId="0">
      <selection activeCell="E17" sqref="E17"/>
    </sheetView>
  </sheetViews>
  <sheetFormatPr defaultRowHeight="15"/>
  <cols>
    <col min="1" max="1" width="4.140625" style="98" customWidth="1"/>
    <col min="2" max="2" width="24.85546875" style="101" customWidth="1"/>
    <col min="3" max="3" width="23" style="101" customWidth="1"/>
    <col min="4" max="4" width="17.5703125" style="101" customWidth="1"/>
    <col min="5" max="5" width="19" style="101" customWidth="1"/>
    <col min="6" max="6" width="24.85546875" style="101" customWidth="1"/>
    <col min="7" max="7" width="10.28515625" style="100" customWidth="1"/>
    <col min="8" max="8" width="16" style="98" customWidth="1"/>
    <col min="9" max="9" width="13.85546875" style="98" customWidth="1"/>
    <col min="10" max="10" width="14.28515625" style="98" customWidth="1"/>
    <col min="11" max="11" width="13.28515625" style="98" customWidth="1"/>
    <col min="12" max="16384" width="9.140625" style="98"/>
  </cols>
  <sheetData>
    <row r="1" spans="1:11">
      <c r="B1" s="98"/>
      <c r="C1" s="98"/>
      <c r="D1" s="98"/>
      <c r="E1" s="98"/>
      <c r="F1" s="101" t="s">
        <v>950</v>
      </c>
      <c r="G1" s="98"/>
      <c r="J1" s="99"/>
      <c r="K1" s="99"/>
    </row>
    <row r="2" spans="1:11">
      <c r="B2" s="98"/>
      <c r="C2" s="98"/>
      <c r="D2" s="98"/>
      <c r="E2" s="98"/>
      <c r="F2" s="32"/>
      <c r="G2" s="98"/>
      <c r="J2" s="99"/>
      <c r="K2" s="99"/>
    </row>
    <row r="3" spans="1:11" ht="15.75">
      <c r="A3" s="1758" t="s">
        <v>1682</v>
      </c>
      <c r="B3" s="1758"/>
      <c r="C3" s="1758"/>
      <c r="D3" s="1758"/>
      <c r="E3" s="1758"/>
      <c r="F3" s="1758"/>
      <c r="G3" s="105"/>
      <c r="H3" s="105"/>
      <c r="I3" s="105"/>
      <c r="J3" s="105"/>
      <c r="K3" s="105"/>
    </row>
    <row r="4" spans="1:11" ht="22.5" customHeight="1">
      <c r="C4" s="1763" t="s">
        <v>749</v>
      </c>
      <c r="D4" s="1763"/>
      <c r="E4" s="1763"/>
    </row>
    <row r="5" spans="1:11" ht="63">
      <c r="A5" s="213" t="s">
        <v>1255</v>
      </c>
      <c r="B5" s="213" t="s">
        <v>1683</v>
      </c>
      <c r="C5" s="213" t="s">
        <v>1684</v>
      </c>
      <c r="D5" s="213" t="s">
        <v>1685</v>
      </c>
      <c r="E5" s="213" t="s">
        <v>1686</v>
      </c>
      <c r="F5" s="213" t="s">
        <v>1687</v>
      </c>
    </row>
    <row r="6" spans="1:11" s="227" customFormat="1" ht="15.75">
      <c r="A6" s="211">
        <v>1</v>
      </c>
      <c r="B6" s="211">
        <v>2</v>
      </c>
      <c r="C6" s="211">
        <v>3</v>
      </c>
      <c r="D6" s="211">
        <v>4</v>
      </c>
      <c r="E6" s="211">
        <v>5</v>
      </c>
      <c r="F6" s="211">
        <v>6</v>
      </c>
      <c r="G6" s="226"/>
    </row>
    <row r="7" spans="1:11" ht="75.75" customHeight="1">
      <c r="A7" s="218">
        <v>1</v>
      </c>
      <c r="B7" s="242" t="s">
        <v>443</v>
      </c>
      <c r="C7" s="213">
        <v>1</v>
      </c>
      <c r="D7" s="1340">
        <v>9</v>
      </c>
      <c r="E7" s="1083">
        <v>65</v>
      </c>
      <c r="F7" s="1251">
        <f>C7*D7*E7</f>
        <v>585</v>
      </c>
    </row>
    <row r="8" spans="1:11" ht="15.75" hidden="1" customHeight="1">
      <c r="A8" s="218"/>
      <c r="B8" s="242"/>
      <c r="C8" s="242"/>
      <c r="D8" s="242"/>
      <c r="E8" s="242"/>
      <c r="F8" s="215"/>
    </row>
    <row r="9" spans="1:11" ht="15.75" hidden="1" customHeight="1">
      <c r="A9" s="218"/>
      <c r="B9" s="242"/>
      <c r="C9" s="242"/>
      <c r="D9" s="242"/>
      <c r="E9" s="242"/>
      <c r="F9" s="215"/>
    </row>
    <row r="10" spans="1:11" ht="15.75" hidden="1" customHeight="1">
      <c r="A10" s="218"/>
      <c r="B10" s="242"/>
      <c r="C10" s="242"/>
      <c r="D10" s="242"/>
      <c r="E10" s="242"/>
      <c r="F10" s="215"/>
    </row>
    <row r="11" spans="1:11" ht="15.75" hidden="1" customHeight="1">
      <c r="A11" s="218"/>
      <c r="B11" s="242"/>
      <c r="C11" s="242"/>
      <c r="D11" s="242"/>
      <c r="E11" s="242"/>
      <c r="F11" s="215"/>
    </row>
    <row r="12" spans="1:11" ht="15.75" hidden="1" customHeight="1">
      <c r="A12" s="218"/>
      <c r="B12" s="242"/>
      <c r="C12" s="242"/>
      <c r="D12" s="242"/>
      <c r="E12" s="242"/>
      <c r="F12" s="215"/>
    </row>
    <row r="13" spans="1:11" ht="15.75" hidden="1" customHeight="1">
      <c r="A13" s="218"/>
      <c r="B13" s="242"/>
      <c r="C13" s="242"/>
      <c r="D13" s="242"/>
      <c r="E13" s="242"/>
      <c r="F13" s="215"/>
    </row>
    <row r="14" spans="1:11" ht="15.75" hidden="1" customHeight="1">
      <c r="A14" s="218"/>
      <c r="B14" s="242"/>
      <c r="C14" s="242"/>
      <c r="D14" s="242"/>
      <c r="E14" s="242"/>
      <c r="F14" s="215"/>
    </row>
    <row r="15" spans="1:11" ht="15.75" hidden="1" customHeight="1">
      <c r="A15" s="218"/>
      <c r="B15" s="1760" t="s">
        <v>183</v>
      </c>
      <c r="C15" s="1761"/>
      <c r="D15" s="1761"/>
      <c r="E15" s="1762"/>
      <c r="F15" s="215">
        <f>SUM(F7:F14)</f>
        <v>585</v>
      </c>
    </row>
    <row r="16" spans="1:11" s="207" customFormat="1" ht="36" customHeight="1">
      <c r="B16" s="234" t="s">
        <v>1077</v>
      </c>
      <c r="C16" s="221"/>
      <c r="D16" s="507"/>
      <c r="E16" s="221"/>
      <c r="F16" s="507" t="s">
        <v>1040</v>
      </c>
      <c r="G16" s="510"/>
    </row>
    <row r="17" spans="2:7" s="207" customFormat="1" ht="15.75">
      <c r="B17" s="221"/>
      <c r="C17" s="221"/>
      <c r="D17" s="217" t="s">
        <v>1078</v>
      </c>
      <c r="E17" s="221"/>
      <c r="F17" s="511" t="s">
        <v>1079</v>
      </c>
      <c r="G17" s="511"/>
    </row>
    <row r="18" spans="2:7" s="207" customFormat="1" ht="28.5" customHeight="1">
      <c r="B18" s="505" t="s">
        <v>1076</v>
      </c>
      <c r="C18" s="221"/>
      <c r="D18" s="507"/>
      <c r="E18" s="221"/>
      <c r="F18" s="221" t="s">
        <v>1245</v>
      </c>
      <c r="G18" s="510"/>
    </row>
    <row r="19" spans="2:7" s="207" customFormat="1" ht="15.75">
      <c r="B19" s="221"/>
      <c r="C19" s="221"/>
      <c r="D19" s="217" t="s">
        <v>1078</v>
      </c>
      <c r="E19" s="221"/>
      <c r="F19" s="511" t="s">
        <v>1079</v>
      </c>
      <c r="G19" s="511"/>
    </row>
  </sheetData>
  <customSheetViews>
    <customSheetView guid="{CA0FB9E2-E541-4C74-BCFE-D75491869B36}" scale="98" showPageBreaks="1" printArea="1" view="pageBreakPreview">
      <selection activeCell="E28" sqref="E28"/>
      <pageMargins left="0" right="0" top="0.74803149606299213" bottom="0.74803149606299213" header="0.31496062992125984" footer="0.31496062992125984"/>
      <pageSetup paperSize="9" scale="82" orientation="portrait" r:id="rId1"/>
    </customSheetView>
    <customSheetView guid="{F10E3D8B-5892-420A-B023-68C6496D556B}">
      <selection activeCell="B13" sqref="B13:E13"/>
      <pageMargins left="0" right="0" top="0.74803149606299213" bottom="0.74803149606299213" header="0.31496062992125984" footer="0.31496062992125984"/>
      <pageSetup paperSize="9" scale="80" orientation="landscape" r:id="rId2"/>
    </customSheetView>
    <customSheetView guid="{FE7E58EF-FECC-4DF6-BB75-BA97138CB219}">
      <selection activeCell="B13" sqref="B13:E13"/>
      <pageMargins left="0" right="0" top="0.74803149606299213" bottom="0.74803149606299213" header="0.31496062992125984" footer="0.31496062992125984"/>
      <pageSetup paperSize="9" scale="80" orientation="landscape" r:id="rId3"/>
    </customSheetView>
    <customSheetView guid="{43136B00-66C6-4289-99D3-5EF20611F834}" scale="98" showPageBreaks="1" view="pageBreakPreview">
      <selection activeCell="B18" sqref="B18"/>
      <pageMargins left="0" right="0" top="0.74803149606299213" bottom="0.74803149606299213" header="0.31496062992125984" footer="0.31496062992125984"/>
      <pageSetup paperSize="9" scale="76" orientation="portrait" r:id="rId4"/>
    </customSheetView>
    <customSheetView guid="{22820B9F-10DE-4629-AF3D-4AF98A9BCEDB}" scale="98" showPageBreaks="1" printArea="1" view="pageBreakPreview">
      <selection activeCell="A16" sqref="A16:IV19"/>
      <pageMargins left="0" right="0" top="0.74803149606299213" bottom="0.74803149606299213" header="0.31496062992125984" footer="0.31496062992125984"/>
      <pageSetup paperSize="9" scale="82" orientation="portrait" r:id="rId5"/>
    </customSheetView>
  </customSheetViews>
  <mergeCells count="3">
    <mergeCell ref="A3:F3"/>
    <mergeCell ref="B15:E15"/>
    <mergeCell ref="C4:E4"/>
  </mergeCells>
  <phoneticPr fontId="116" type="noConversion"/>
  <pageMargins left="0" right="0" top="0.74803149606299213" bottom="0.74803149606299213" header="0.31496062992125984" footer="0.31496062992125984"/>
  <pageSetup paperSize="9" scale="75" orientation="portrait" r:id="rId6"/>
</worksheet>
</file>

<file path=xl/worksheets/sheet21.xml><?xml version="1.0" encoding="utf-8"?>
<worksheet xmlns="http://schemas.openxmlformats.org/spreadsheetml/2006/main" xmlns:r="http://schemas.openxmlformats.org/officeDocument/2006/relationships">
  <sheetPr>
    <tabColor rgb="FF00B050"/>
  </sheetPr>
  <dimension ref="A1:K19"/>
  <sheetViews>
    <sheetView view="pageBreakPreview" topLeftCell="A15" zoomScale="98" zoomScaleNormal="100" zoomScaleSheetLayoutView="98" workbookViewId="0">
      <selection activeCell="H7" sqref="H7"/>
    </sheetView>
  </sheetViews>
  <sheetFormatPr defaultRowHeight="15"/>
  <cols>
    <col min="1" max="1" width="4.140625" style="98" customWidth="1"/>
    <col min="2" max="2" width="24.85546875" style="101" customWidth="1"/>
    <col min="3" max="3" width="23" style="101" customWidth="1"/>
    <col min="4" max="4" width="17.5703125" style="101" customWidth="1"/>
    <col min="5" max="5" width="19" style="101" customWidth="1"/>
    <col min="6" max="6" width="24.85546875" style="101" customWidth="1"/>
    <col min="7" max="7" width="10.28515625" style="100" customWidth="1"/>
    <col min="8" max="8" width="16" style="98" customWidth="1"/>
    <col min="9" max="9" width="13.85546875" style="98" customWidth="1"/>
    <col min="10" max="10" width="14.28515625" style="98" customWidth="1"/>
    <col min="11" max="11" width="13.28515625" style="98" customWidth="1"/>
    <col min="12" max="16384" width="9.140625" style="98"/>
  </cols>
  <sheetData>
    <row r="1" spans="1:11">
      <c r="B1" s="98"/>
      <c r="C1" s="98"/>
      <c r="D1" s="98"/>
      <c r="E1" s="98"/>
      <c r="F1" s="101" t="s">
        <v>950</v>
      </c>
      <c r="G1" s="98"/>
      <c r="J1" s="99"/>
      <c r="K1" s="99"/>
    </row>
    <row r="2" spans="1:11">
      <c r="B2" s="98"/>
      <c r="C2" s="98"/>
      <c r="D2" s="98"/>
      <c r="E2" s="98"/>
      <c r="F2" s="32"/>
      <c r="G2" s="98"/>
      <c r="J2" s="99"/>
      <c r="K2" s="99"/>
    </row>
    <row r="3" spans="1:11" ht="15.75">
      <c r="A3" s="1758" t="s">
        <v>1682</v>
      </c>
      <c r="B3" s="1758"/>
      <c r="C3" s="1758"/>
      <c r="D3" s="1758"/>
      <c r="E3" s="1758"/>
      <c r="F3" s="1758"/>
      <c r="G3" s="105"/>
      <c r="H3" s="105"/>
      <c r="I3" s="105"/>
      <c r="J3" s="105"/>
      <c r="K3" s="105"/>
    </row>
    <row r="4" spans="1:11" ht="22.5" customHeight="1">
      <c r="C4" s="1763" t="s">
        <v>126</v>
      </c>
      <c r="D4" s="1763"/>
      <c r="E4" s="1763"/>
    </row>
    <row r="5" spans="1:11" ht="63">
      <c r="A5" s="213" t="s">
        <v>1255</v>
      </c>
      <c r="B5" s="213" t="s">
        <v>1683</v>
      </c>
      <c r="C5" s="213" t="s">
        <v>1684</v>
      </c>
      <c r="D5" s="213" t="s">
        <v>1685</v>
      </c>
      <c r="E5" s="213" t="s">
        <v>1686</v>
      </c>
      <c r="F5" s="213" t="s">
        <v>1687</v>
      </c>
    </row>
    <row r="6" spans="1:11" s="227" customFormat="1" ht="12.75" customHeight="1">
      <c r="A6" s="211">
        <v>1</v>
      </c>
      <c r="B6" s="211">
        <v>2</v>
      </c>
      <c r="C6" s="211">
        <v>3</v>
      </c>
      <c r="D6" s="211">
        <v>4</v>
      </c>
      <c r="E6" s="211">
        <v>5</v>
      </c>
      <c r="F6" s="211">
        <v>6</v>
      </c>
      <c r="G6" s="226"/>
    </row>
    <row r="7" spans="1:11" ht="75.75" customHeight="1">
      <c r="A7" s="218">
        <v>1</v>
      </c>
      <c r="B7" s="242" t="s">
        <v>443</v>
      </c>
      <c r="C7" s="213">
        <v>0</v>
      </c>
      <c r="D7" s="1340">
        <v>0</v>
      </c>
      <c r="E7" s="1083">
        <v>65</v>
      </c>
      <c r="F7" s="1251">
        <f>C7*D7*E7</f>
        <v>0</v>
      </c>
    </row>
    <row r="8" spans="1:11" ht="15.75" hidden="1" customHeight="1">
      <c r="A8" s="218"/>
      <c r="B8" s="242"/>
      <c r="C8" s="242"/>
      <c r="D8" s="242"/>
      <c r="E8" s="242"/>
      <c r="F8" s="215"/>
    </row>
    <row r="9" spans="1:11" ht="15.75" hidden="1" customHeight="1">
      <c r="A9" s="218"/>
      <c r="B9" s="242"/>
      <c r="C9" s="242"/>
      <c r="D9" s="242"/>
      <c r="E9" s="242"/>
      <c r="F9" s="215"/>
    </row>
    <row r="10" spans="1:11" ht="15.75" hidden="1" customHeight="1">
      <c r="A10" s="218"/>
      <c r="B10" s="242"/>
      <c r="C10" s="242"/>
      <c r="D10" s="242"/>
      <c r="E10" s="242"/>
      <c r="F10" s="215"/>
    </row>
    <row r="11" spans="1:11" ht="15.75" hidden="1" customHeight="1">
      <c r="A11" s="218"/>
      <c r="B11" s="242"/>
      <c r="C11" s="242"/>
      <c r="D11" s="242"/>
      <c r="E11" s="242"/>
      <c r="F11" s="215"/>
    </row>
    <row r="12" spans="1:11" ht="15.75" hidden="1" customHeight="1">
      <c r="A12" s="218"/>
      <c r="B12" s="242"/>
      <c r="C12" s="242"/>
      <c r="D12" s="242"/>
      <c r="E12" s="242"/>
      <c r="F12" s="215"/>
    </row>
    <row r="13" spans="1:11" ht="15.75" hidden="1" customHeight="1">
      <c r="A13" s="218"/>
      <c r="B13" s="242"/>
      <c r="C13" s="242"/>
      <c r="D13" s="242"/>
      <c r="E13" s="242"/>
      <c r="F13" s="215"/>
    </row>
    <row r="14" spans="1:11" ht="15.75" hidden="1" customHeight="1">
      <c r="A14" s="218"/>
      <c r="B14" s="242"/>
      <c r="C14" s="242"/>
      <c r="D14" s="242"/>
      <c r="E14" s="242"/>
      <c r="F14" s="215"/>
    </row>
    <row r="15" spans="1:11" ht="15.75" customHeight="1">
      <c r="A15" s="218"/>
      <c r="B15" s="1764" t="s">
        <v>183</v>
      </c>
      <c r="C15" s="1765"/>
      <c r="D15" s="1765"/>
      <c r="E15" s="1766"/>
      <c r="F15" s="216">
        <f>SUM(F7:F14)</f>
        <v>0</v>
      </c>
    </row>
    <row r="16" spans="1:11" s="207" customFormat="1" ht="36" customHeight="1">
      <c r="B16" s="234" t="s">
        <v>1077</v>
      </c>
      <c r="C16" s="221"/>
      <c r="D16" s="507"/>
      <c r="E16" s="221"/>
      <c r="F16" s="507" t="s">
        <v>1040</v>
      </c>
      <c r="G16" s="510"/>
    </row>
    <row r="17" spans="2:7" s="207" customFormat="1" ht="15.75">
      <c r="B17" s="221"/>
      <c r="C17" s="221"/>
      <c r="D17" s="217" t="s">
        <v>1078</v>
      </c>
      <c r="E17" s="221"/>
      <c r="F17" s="511" t="s">
        <v>1079</v>
      </c>
      <c r="G17" s="511"/>
    </row>
    <row r="18" spans="2:7" s="207" customFormat="1" ht="28.5" customHeight="1">
      <c r="B18" s="505" t="s">
        <v>1076</v>
      </c>
      <c r="C18" s="221"/>
      <c r="D18" s="507"/>
      <c r="E18" s="221"/>
      <c r="F18" s="221" t="s">
        <v>1245</v>
      </c>
      <c r="G18" s="510"/>
    </row>
    <row r="19" spans="2:7" s="207" customFormat="1" ht="15.75">
      <c r="B19" s="221"/>
      <c r="C19" s="221"/>
      <c r="D19" s="217" t="s">
        <v>1078</v>
      </c>
      <c r="E19" s="221"/>
      <c r="F19" s="511" t="s">
        <v>1079</v>
      </c>
      <c r="G19" s="511"/>
    </row>
  </sheetData>
  <mergeCells count="3">
    <mergeCell ref="A3:F3"/>
    <mergeCell ref="C4:E4"/>
    <mergeCell ref="B15:E15"/>
  </mergeCells>
  <phoneticPr fontId="116" type="noConversion"/>
  <pageMargins left="0" right="0" top="0.74803149606299213" bottom="0.74803149606299213" header="0.31496062992125984" footer="0.31496062992125984"/>
  <pageSetup paperSize="9" scale="75" orientation="portrait" r:id="rId1"/>
</worksheet>
</file>

<file path=xl/worksheets/sheet22.xml><?xml version="1.0" encoding="utf-8"?>
<worksheet xmlns="http://schemas.openxmlformats.org/spreadsheetml/2006/main" xmlns:r="http://schemas.openxmlformats.org/officeDocument/2006/relationships">
  <sheetPr>
    <tabColor rgb="FFFF9933"/>
  </sheetPr>
  <dimension ref="A1:G35"/>
  <sheetViews>
    <sheetView view="pageBreakPreview" zoomScaleNormal="100" zoomScaleSheetLayoutView="100" workbookViewId="0">
      <selection activeCell="D34" sqref="D34"/>
    </sheetView>
  </sheetViews>
  <sheetFormatPr defaultRowHeight="15"/>
  <cols>
    <col min="1" max="1" width="5.28515625" style="1357" customWidth="1"/>
    <col min="2" max="2" width="71" style="1357" customWidth="1"/>
    <col min="3" max="3" width="17.7109375" style="1357" customWidth="1"/>
    <col min="4" max="4" width="23.7109375" style="1357" customWidth="1"/>
    <col min="5" max="16384" width="9.140625" style="1357"/>
  </cols>
  <sheetData>
    <row r="1" spans="1:4" ht="15.75">
      <c r="A1" s="1355"/>
      <c r="B1" s="1355"/>
      <c r="C1" s="1355"/>
      <c r="D1" s="1356" t="s">
        <v>1081</v>
      </c>
    </row>
    <row r="2" spans="1:4" ht="3.75" customHeight="1">
      <c r="A2" s="1355"/>
      <c r="B2" s="1355"/>
      <c r="C2" s="1355"/>
      <c r="D2" s="1356"/>
    </row>
    <row r="3" spans="1:4" ht="45" customHeight="1">
      <c r="A3" s="1767" t="s">
        <v>1688</v>
      </c>
      <c r="B3" s="1767"/>
      <c r="C3" s="1767"/>
      <c r="D3" s="1767"/>
    </row>
    <row r="4" spans="1:4" ht="5.25" customHeight="1">
      <c r="A4" s="1355"/>
      <c r="B4" s="1355"/>
      <c r="C4" s="1355"/>
      <c r="D4" s="1355"/>
    </row>
    <row r="5" spans="1:4" ht="65.25" customHeight="1">
      <c r="A5" s="1358" t="s">
        <v>1255</v>
      </c>
      <c r="B5" s="1358" t="s">
        <v>1292</v>
      </c>
      <c r="C5" s="1358" t="s">
        <v>1293</v>
      </c>
      <c r="D5" s="1358" t="s">
        <v>1805</v>
      </c>
    </row>
    <row r="6" spans="1:4" ht="15.75">
      <c r="A6" s="1359">
        <v>1</v>
      </c>
      <c r="B6" s="1359">
        <v>2</v>
      </c>
      <c r="C6" s="1359">
        <v>3</v>
      </c>
      <c r="D6" s="1359">
        <v>4</v>
      </c>
    </row>
    <row r="7" spans="1:4" ht="15.75">
      <c r="A7" s="1359">
        <v>1</v>
      </c>
      <c r="B7" s="1360" t="s">
        <v>1802</v>
      </c>
      <c r="C7" s="1359" t="s">
        <v>1296</v>
      </c>
      <c r="D7" s="1361"/>
    </row>
    <row r="8" spans="1:4" ht="15.75">
      <c r="A8" s="1359">
        <v>2</v>
      </c>
      <c r="B8" s="1360" t="s">
        <v>1096</v>
      </c>
      <c r="C8" s="1359" t="s">
        <v>1296</v>
      </c>
      <c r="D8" s="1361"/>
    </row>
    <row r="9" spans="1:4" ht="33" customHeight="1">
      <c r="A9" s="1362">
        <v>3</v>
      </c>
      <c r="B9" s="1363" t="s">
        <v>1187</v>
      </c>
      <c r="C9" s="1361">
        <f ca="1">'ВР211(т.2.1) штат. 01.01.18'!P149</f>
        <v>17313755.879999999</v>
      </c>
      <c r="D9" s="1364">
        <f>ROUND(C9*22/100,2)</f>
        <v>3809026.29</v>
      </c>
    </row>
    <row r="10" spans="1:4" ht="18" hidden="1" customHeight="1">
      <c r="A10" s="1365"/>
      <c r="B10" s="1366"/>
      <c r="C10" s="1367"/>
      <c r="D10" s="1368"/>
    </row>
    <row r="11" spans="1:4" ht="78.75" hidden="1" customHeight="1">
      <c r="A11" s="1365"/>
      <c r="B11" s="1366"/>
      <c r="C11" s="1369" t="s">
        <v>444</v>
      </c>
      <c r="D11" s="1368"/>
    </row>
    <row r="12" spans="1:4" ht="18" hidden="1" customHeight="1">
      <c r="A12" s="1365"/>
      <c r="B12" s="1366"/>
      <c r="C12" s="1367"/>
      <c r="D12" s="1368"/>
    </row>
    <row r="13" spans="1:4" ht="39.75" hidden="1" customHeight="1">
      <c r="A13" s="1370"/>
      <c r="B13" s="1371"/>
      <c r="C13" s="1369" t="s">
        <v>445</v>
      </c>
      <c r="D13" s="1372"/>
    </row>
    <row r="14" spans="1:4" ht="30" customHeight="1">
      <c r="A14" s="1373">
        <v>4</v>
      </c>
      <c r="B14" s="1374" t="s">
        <v>1294</v>
      </c>
      <c r="C14" s="1373" t="s">
        <v>1296</v>
      </c>
      <c r="D14" s="1375">
        <f>D16+D21</f>
        <v>536726.42999999993</v>
      </c>
    </row>
    <row r="15" spans="1:4" ht="15.75">
      <c r="A15" s="1373"/>
      <c r="B15" s="1374" t="s">
        <v>1295</v>
      </c>
      <c r="C15" s="1376"/>
      <c r="D15" s="1376"/>
    </row>
    <row r="16" spans="1:4" ht="31.5">
      <c r="A16" s="1377" t="s">
        <v>1803</v>
      </c>
      <c r="B16" s="1363" t="s">
        <v>446</v>
      </c>
      <c r="C16" s="1367">
        <f ca="1">'ВР211(т.2.1) штат. 01.01.18'!P149</f>
        <v>17313755.879999999</v>
      </c>
      <c r="D16" s="1378">
        <f>ROUND(C16*2.9/100,2)</f>
        <v>502098.92</v>
      </c>
    </row>
    <row r="17" spans="1:7" ht="18" customHeight="1">
      <c r="A17" s="1365"/>
      <c r="B17" s="1366"/>
      <c r="C17" s="1382"/>
      <c r="D17" s="1368"/>
    </row>
    <row r="18" spans="1:7" ht="78.75" hidden="1" customHeight="1">
      <c r="A18" s="1365"/>
      <c r="B18" s="1366"/>
      <c r="C18" s="1369" t="s">
        <v>444</v>
      </c>
      <c r="D18" s="1368"/>
    </row>
    <row r="19" spans="1:7" ht="18" hidden="1" customHeight="1">
      <c r="A19" s="1365"/>
      <c r="B19" s="1366"/>
      <c r="C19" s="1367"/>
      <c r="D19" s="1368"/>
    </row>
    <row r="20" spans="1:7" ht="39.75" hidden="1" customHeight="1">
      <c r="A20" s="1370"/>
      <c r="B20" s="1371"/>
      <c r="C20" s="1369" t="s">
        <v>445</v>
      </c>
      <c r="D20" s="1368"/>
    </row>
    <row r="21" spans="1:7" ht="31.5">
      <c r="A21" s="1377" t="s">
        <v>1804</v>
      </c>
      <c r="B21" s="1363" t="s">
        <v>447</v>
      </c>
      <c r="C21" s="1367">
        <f ca="1">'ВР211(т.2.1) штат. 01.01.18'!P149</f>
        <v>17313755.879999999</v>
      </c>
      <c r="D21" s="1378">
        <f>ROUND(C21*0.2/100,2)</f>
        <v>34627.51</v>
      </c>
    </row>
    <row r="22" spans="1:7" ht="18" customHeight="1">
      <c r="A22" s="1365"/>
      <c r="B22" s="1366"/>
      <c r="C22" s="1382"/>
      <c r="D22" s="1368"/>
    </row>
    <row r="23" spans="1:7" ht="78.75" hidden="1" customHeight="1">
      <c r="A23" s="1365"/>
      <c r="B23" s="1366"/>
      <c r="C23" s="1369" t="s">
        <v>444</v>
      </c>
      <c r="D23" s="1368"/>
    </row>
    <row r="24" spans="1:7" ht="18" hidden="1" customHeight="1">
      <c r="A24" s="1365"/>
      <c r="B24" s="1366"/>
      <c r="C24" s="1367"/>
      <c r="D24" s="1368"/>
    </row>
    <row r="25" spans="1:7" ht="39.75" hidden="1" customHeight="1">
      <c r="A25" s="1370"/>
      <c r="B25" s="1371"/>
      <c r="C25" s="1369" t="s">
        <v>445</v>
      </c>
      <c r="D25" s="1372"/>
    </row>
    <row r="26" spans="1:7" ht="31.5">
      <c r="A26" s="1362">
        <v>5</v>
      </c>
      <c r="B26" s="1363" t="s">
        <v>448</v>
      </c>
      <c r="C26" s="1367">
        <f ca="1">'ВР211(т.2.1) штат. 01.01.18'!P149</f>
        <v>17313755.879999999</v>
      </c>
      <c r="D26" s="1364">
        <f>ROUND(C26*5.1/100,2)</f>
        <v>883001.55</v>
      </c>
    </row>
    <row r="27" spans="1:7" ht="18" customHeight="1">
      <c r="A27" s="1365"/>
      <c r="B27" s="1366"/>
      <c r="C27" s="1382"/>
      <c r="D27" s="1368"/>
    </row>
    <row r="28" spans="1:7" ht="78.75" hidden="1" customHeight="1">
      <c r="A28" s="1365"/>
      <c r="B28" s="1366"/>
      <c r="C28" s="1369" t="s">
        <v>444</v>
      </c>
      <c r="D28" s="1368"/>
    </row>
    <row r="29" spans="1:7" ht="18" hidden="1" customHeight="1">
      <c r="A29" s="1365"/>
      <c r="B29" s="1366"/>
      <c r="C29" s="1367"/>
      <c r="D29" s="1368"/>
    </row>
    <row r="30" spans="1:7" ht="39.75" hidden="1" customHeight="1">
      <c r="A30" s="1370"/>
      <c r="B30" s="1371"/>
      <c r="C30" s="1369" t="s">
        <v>445</v>
      </c>
      <c r="D30" s="1372"/>
    </row>
    <row r="31" spans="1:7" ht="15.75">
      <c r="A31" s="1379"/>
      <c r="B31" s="1380" t="s">
        <v>183</v>
      </c>
      <c r="C31" s="1381"/>
      <c r="D31" s="1381">
        <f>D9+D14+D26</f>
        <v>5228754.2699999996</v>
      </c>
    </row>
    <row r="32" spans="1:7" s="207" customFormat="1" ht="21" customHeight="1">
      <c r="B32" s="1355" t="s">
        <v>1077</v>
      </c>
      <c r="C32" s="507"/>
      <c r="D32" s="221" t="s">
        <v>1040</v>
      </c>
      <c r="E32" s="311"/>
      <c r="F32" s="510"/>
      <c r="G32" s="510"/>
    </row>
    <row r="33" spans="2:7" s="207" customFormat="1" ht="15.75" customHeight="1">
      <c r="B33" s="221"/>
      <c r="C33" s="217" t="s">
        <v>1078</v>
      </c>
      <c r="D33" s="1252" t="s">
        <v>1079</v>
      </c>
      <c r="E33" s="509"/>
      <c r="F33" s="510"/>
      <c r="G33" s="510"/>
    </row>
    <row r="34" spans="2:7" s="207" customFormat="1" ht="18.75" customHeight="1">
      <c r="B34" s="505" t="s">
        <v>1076</v>
      </c>
      <c r="C34" s="507"/>
      <c r="D34" s="221" t="s">
        <v>1245</v>
      </c>
      <c r="E34" s="311"/>
      <c r="F34" s="510"/>
      <c r="G34" s="510"/>
    </row>
    <row r="35" spans="2:7" s="207" customFormat="1" ht="15.75" customHeight="1">
      <c r="B35" s="221"/>
      <c r="C35" s="217" t="s">
        <v>1078</v>
      </c>
      <c r="D35" s="1252" t="s">
        <v>1079</v>
      </c>
      <c r="F35" s="510"/>
      <c r="G35" s="510"/>
    </row>
  </sheetData>
  <mergeCells count="1">
    <mergeCell ref="A3:D3"/>
  </mergeCells>
  <phoneticPr fontId="116" type="noConversion"/>
  <pageMargins left="0.70866141732283472" right="0.19685039370078741" top="0.31496062992125984" bottom="0.19685039370078741" header="0.31496062992125984" footer="0.19685039370078741"/>
  <pageSetup paperSize="9" scale="77" orientation="portrait" r:id="rId1"/>
</worksheet>
</file>

<file path=xl/worksheets/sheet23.xml><?xml version="1.0" encoding="utf-8"?>
<worksheet xmlns="http://schemas.openxmlformats.org/spreadsheetml/2006/main" xmlns:r="http://schemas.openxmlformats.org/officeDocument/2006/relationships">
  <sheetPr>
    <tabColor theme="0" tint="-0.499984740745262"/>
  </sheetPr>
  <dimension ref="A1:IU40"/>
  <sheetViews>
    <sheetView view="pageBreakPreview" topLeftCell="A7" zoomScale="96" zoomScaleNormal="100" zoomScaleSheetLayoutView="96" workbookViewId="0">
      <selection activeCell="A2" sqref="A2:I2"/>
    </sheetView>
  </sheetViews>
  <sheetFormatPr defaultColWidth="19.85546875" defaultRowHeight="12.75"/>
  <cols>
    <col min="1" max="1" width="17.42578125" style="656" customWidth="1"/>
    <col min="2" max="2" width="11.5703125" style="656" customWidth="1"/>
    <col min="3" max="3" width="11.5703125" style="582" customWidth="1"/>
    <col min="4" max="5" width="10.42578125" style="582" customWidth="1"/>
    <col min="6" max="6" width="11.140625" style="582" customWidth="1"/>
    <col min="7" max="7" width="17.140625" style="582" customWidth="1"/>
    <col min="8" max="8" width="17.5703125" style="582" customWidth="1"/>
    <col min="9" max="9" width="13.42578125" style="582" customWidth="1"/>
    <col min="10" max="10" width="17.140625" style="154" customWidth="1"/>
    <col min="11" max="11" width="15.42578125" style="154" customWidth="1"/>
    <col min="12" max="12" width="13.7109375" style="154" customWidth="1"/>
    <col min="13" max="13" width="15.140625" style="154" customWidth="1"/>
    <col min="14" max="14" width="12" style="154" customWidth="1"/>
    <col min="15" max="255" width="9.140625" style="154" customWidth="1"/>
    <col min="256" max="16384" width="19.85546875" style="154"/>
  </cols>
  <sheetData>
    <row r="1" spans="1:14" ht="15.75">
      <c r="A1" s="1770" t="s">
        <v>1184</v>
      </c>
      <c r="B1" s="1770"/>
      <c r="C1" s="1770"/>
      <c r="D1" s="1770"/>
      <c r="E1" s="1770"/>
      <c r="F1" s="1770"/>
      <c r="G1" s="1770"/>
      <c r="H1" s="1770"/>
      <c r="I1" s="1770"/>
    </row>
    <row r="2" spans="1:14" ht="15.75">
      <c r="A2" s="1771" t="s">
        <v>295</v>
      </c>
      <c r="B2" s="1771"/>
      <c r="C2" s="1771"/>
      <c r="D2" s="1771"/>
      <c r="E2" s="1771"/>
      <c r="F2" s="1771"/>
      <c r="G2" s="1771"/>
      <c r="H2" s="1771"/>
      <c r="I2" s="1771"/>
    </row>
    <row r="3" spans="1:14" ht="15.75">
      <c r="A3" s="1772" t="s">
        <v>1152</v>
      </c>
      <c r="B3" s="1772"/>
      <c r="C3" s="1772"/>
      <c r="D3" s="1772"/>
      <c r="E3" s="1772"/>
      <c r="F3" s="1772"/>
      <c r="G3" s="1772"/>
      <c r="H3" s="1772"/>
      <c r="I3" s="1772"/>
    </row>
    <row r="5" spans="1:14" ht="42.75" customHeight="1">
      <c r="A5" s="625" t="s">
        <v>1153</v>
      </c>
      <c r="B5" s="1773" t="s">
        <v>1154</v>
      </c>
      <c r="C5" s="1774"/>
      <c r="D5" s="1773" t="s">
        <v>1155</v>
      </c>
      <c r="E5" s="1774"/>
      <c r="F5" s="1773" t="s">
        <v>1156</v>
      </c>
      <c r="G5" s="1774"/>
      <c r="H5" s="1773" t="s">
        <v>1157</v>
      </c>
      <c r="I5" s="1774"/>
      <c r="J5" s="154" t="s">
        <v>1158</v>
      </c>
      <c r="K5" s="626" t="s">
        <v>1159</v>
      </c>
      <c r="L5" s="627" t="s">
        <v>1160</v>
      </c>
      <c r="M5" s="628" t="s">
        <v>1161</v>
      </c>
    </row>
    <row r="6" spans="1:14">
      <c r="A6" s="629" t="s">
        <v>1162</v>
      </c>
      <c r="B6" s="1768">
        <v>1128059.6100000001</v>
      </c>
      <c r="C6" s="1769"/>
      <c r="D6" s="1768">
        <f>ROUND((B6*30.2%),2)</f>
        <v>340674</v>
      </c>
      <c r="E6" s="1769"/>
      <c r="F6" s="1768">
        <v>338800</v>
      </c>
      <c r="G6" s="1769"/>
      <c r="H6" s="1768">
        <f t="shared" ref="H6:H17" si="0">D6-F6</f>
        <v>1874</v>
      </c>
      <c r="I6" s="1769"/>
      <c r="J6" s="630">
        <f>1117700.92+4153.28</f>
        <v>1121854.2</v>
      </c>
      <c r="K6" s="631">
        <f>B6-J6</f>
        <v>6205.410000000149</v>
      </c>
      <c r="L6" s="632">
        <f>K6</f>
        <v>6205.410000000149</v>
      </c>
      <c r="M6" s="633">
        <f>K6-L6</f>
        <v>0</v>
      </c>
      <c r="N6" s="633">
        <f>K6-L6</f>
        <v>0</v>
      </c>
    </row>
    <row r="7" spans="1:14">
      <c r="A7" s="629" t="s">
        <v>1707</v>
      </c>
      <c r="B7" s="1768">
        <v>1305794.1000000001</v>
      </c>
      <c r="C7" s="1769"/>
      <c r="D7" s="1768">
        <f t="shared" ref="D7:D12" si="1">ROUND((B7*30.2%),2)</f>
        <v>394349.82</v>
      </c>
      <c r="E7" s="1769"/>
      <c r="F7" s="1768">
        <v>391625.66</v>
      </c>
      <c r="G7" s="1769"/>
      <c r="H7" s="1768">
        <f t="shared" si="0"/>
        <v>2724.1600000000326</v>
      </c>
      <c r="I7" s="1769"/>
      <c r="J7" s="630">
        <v>1296773.46</v>
      </c>
      <c r="K7" s="631">
        <f t="shared" ref="K7:K17" si="2">B7-J7</f>
        <v>9020.6400000001304</v>
      </c>
      <c r="L7" s="632">
        <f>K7</f>
        <v>9020.6400000001304</v>
      </c>
      <c r="M7" s="633"/>
    </row>
    <row r="8" spans="1:14">
      <c r="A8" s="629" t="s">
        <v>1708</v>
      </c>
      <c r="B8" s="1768">
        <v>1285002.3899999999</v>
      </c>
      <c r="C8" s="1769"/>
      <c r="D8" s="1768">
        <f t="shared" si="1"/>
        <v>388070.72</v>
      </c>
      <c r="E8" s="1769"/>
      <c r="F8" s="1768">
        <v>382751.37</v>
      </c>
      <c r="G8" s="1769"/>
      <c r="H8" s="1768">
        <f t="shared" si="0"/>
        <v>5319.3499999999767</v>
      </c>
      <c r="I8" s="1769"/>
      <c r="J8" s="630">
        <v>1267388.46</v>
      </c>
      <c r="K8" s="631">
        <f t="shared" si="2"/>
        <v>17613.929999999935</v>
      </c>
      <c r="L8" s="632">
        <f t="shared" ref="L8:L17" si="3">K8</f>
        <v>17613.929999999935</v>
      </c>
      <c r="M8" s="633"/>
    </row>
    <row r="9" spans="1:14">
      <c r="A9" s="629" t="s">
        <v>1709</v>
      </c>
      <c r="B9" s="1768">
        <v>1288794.32</v>
      </c>
      <c r="C9" s="1769"/>
      <c r="D9" s="1768">
        <f t="shared" si="1"/>
        <v>389215.88</v>
      </c>
      <c r="E9" s="1769"/>
      <c r="F9" s="1768">
        <v>387867.37</v>
      </c>
      <c r="G9" s="1769"/>
      <c r="H9" s="1768">
        <f t="shared" si="0"/>
        <v>1348.5100000000093</v>
      </c>
      <c r="I9" s="1769"/>
      <c r="J9" s="630">
        <v>1284329.18</v>
      </c>
      <c r="K9" s="631">
        <f t="shared" si="2"/>
        <v>4465.1400000001304</v>
      </c>
      <c r="L9" s="632">
        <f t="shared" si="3"/>
        <v>4465.1400000001304</v>
      </c>
      <c r="M9" s="633"/>
    </row>
    <row r="10" spans="1:14">
      <c r="A10" s="634" t="s">
        <v>1710</v>
      </c>
      <c r="B10" s="1768">
        <v>2705374.95</v>
      </c>
      <c r="C10" s="1769"/>
      <c r="D10" s="1768">
        <f>ROUND((B10*30.2%),2)</f>
        <v>817023.23</v>
      </c>
      <c r="E10" s="1769"/>
      <c r="F10" s="1768">
        <v>814080.11</v>
      </c>
      <c r="G10" s="1769"/>
      <c r="H10" s="1768">
        <f t="shared" si="0"/>
        <v>2943.1199999999953</v>
      </c>
      <c r="I10" s="1769"/>
      <c r="J10" s="635">
        <v>2695629.6</v>
      </c>
      <c r="K10" s="631">
        <f t="shared" si="2"/>
        <v>9745.3500000000931</v>
      </c>
      <c r="L10" s="632">
        <f t="shared" si="3"/>
        <v>9745.3500000000931</v>
      </c>
      <c r="M10" s="636"/>
    </row>
    <row r="11" spans="1:14">
      <c r="A11" s="629" t="s">
        <v>1711</v>
      </c>
      <c r="B11" s="1768">
        <v>1034914.19</v>
      </c>
      <c r="C11" s="1769"/>
      <c r="D11" s="1768">
        <f t="shared" si="1"/>
        <v>312544.09000000003</v>
      </c>
      <c r="E11" s="1769"/>
      <c r="F11" s="1768">
        <v>310179.28999999998</v>
      </c>
      <c r="G11" s="1769"/>
      <c r="H11" s="1768">
        <f t="shared" si="0"/>
        <v>2364.8000000000466</v>
      </c>
      <c r="I11" s="1769"/>
      <c r="J11" s="630">
        <v>1027083.74</v>
      </c>
      <c r="K11" s="631">
        <f t="shared" si="2"/>
        <v>7830.4499999999534</v>
      </c>
      <c r="L11" s="632">
        <f t="shared" si="3"/>
        <v>7830.4499999999534</v>
      </c>
      <c r="M11" s="633"/>
    </row>
    <row r="12" spans="1:14">
      <c r="A12" s="629" t="s">
        <v>1712</v>
      </c>
      <c r="B12" s="1768">
        <v>599552.97</v>
      </c>
      <c r="C12" s="1769"/>
      <c r="D12" s="1768">
        <f t="shared" si="1"/>
        <v>181065</v>
      </c>
      <c r="E12" s="1769"/>
      <c r="F12" s="1768">
        <v>179480.61</v>
      </c>
      <c r="G12" s="1769"/>
      <c r="H12" s="1768">
        <f t="shared" si="0"/>
        <v>1584.390000000014</v>
      </c>
      <c r="I12" s="1769"/>
      <c r="J12" s="630">
        <v>594306.66</v>
      </c>
      <c r="K12" s="631">
        <f t="shared" si="2"/>
        <v>5246.3099999999395</v>
      </c>
      <c r="L12" s="632">
        <f t="shared" si="3"/>
        <v>5246.3099999999395</v>
      </c>
      <c r="M12" s="633"/>
    </row>
    <row r="13" spans="1:14">
      <c r="A13" s="629" t="s">
        <v>1713</v>
      </c>
      <c r="B13" s="1768">
        <v>872293.54</v>
      </c>
      <c r="C13" s="1769"/>
      <c r="D13" s="1768">
        <f>ROUND((B13*30.2%),2)</f>
        <v>263432.65000000002</v>
      </c>
      <c r="E13" s="1769"/>
      <c r="F13" s="1768">
        <v>262333.14</v>
      </c>
      <c r="G13" s="1769"/>
      <c r="H13" s="1768">
        <f t="shared" si="0"/>
        <v>1099.5100000000093</v>
      </c>
      <c r="I13" s="1769"/>
      <c r="J13" s="630">
        <v>868652.77</v>
      </c>
      <c r="K13" s="631">
        <f t="shared" si="2"/>
        <v>3640.7700000000186</v>
      </c>
      <c r="L13" s="632">
        <f t="shared" si="3"/>
        <v>3640.7700000000186</v>
      </c>
      <c r="M13" s="633"/>
    </row>
    <row r="14" spans="1:14" ht="15">
      <c r="A14" s="629" t="s">
        <v>1714</v>
      </c>
      <c r="B14" s="1775">
        <v>1149004.5900000001</v>
      </c>
      <c r="C14" s="1776"/>
      <c r="D14" s="1768">
        <f>ROUND((B14*30.2%),2)-0.01</f>
        <v>346999.38</v>
      </c>
      <c r="E14" s="1769"/>
      <c r="F14" s="1768">
        <v>346999.38</v>
      </c>
      <c r="G14" s="1769"/>
      <c r="H14" s="1768">
        <f t="shared" si="0"/>
        <v>0</v>
      </c>
      <c r="I14" s="1769"/>
      <c r="J14" s="630">
        <v>1149004.5900000001</v>
      </c>
      <c r="K14" s="631">
        <f t="shared" si="2"/>
        <v>0</v>
      </c>
      <c r="L14" s="632">
        <f t="shared" si="3"/>
        <v>0</v>
      </c>
      <c r="M14" s="637"/>
    </row>
    <row r="15" spans="1:14">
      <c r="A15" s="629" t="s">
        <v>1715</v>
      </c>
      <c r="B15" s="1768">
        <v>1313129.79</v>
      </c>
      <c r="C15" s="1769"/>
      <c r="D15" s="1768">
        <f>ROUND((B15*30.2%),2)</f>
        <v>396565.2</v>
      </c>
      <c r="E15" s="1769"/>
      <c r="F15" s="1768">
        <v>395862.31</v>
      </c>
      <c r="G15" s="1769"/>
      <c r="H15" s="1768">
        <f t="shared" si="0"/>
        <v>702.89000000001397</v>
      </c>
      <c r="I15" s="1769"/>
      <c r="J15" s="630">
        <v>1310802.3799999999</v>
      </c>
      <c r="K15" s="631">
        <f t="shared" si="2"/>
        <v>2327.410000000149</v>
      </c>
      <c r="L15" s="632">
        <f t="shared" si="3"/>
        <v>2327.410000000149</v>
      </c>
      <c r="M15" s="633">
        <f>K15-L15</f>
        <v>0</v>
      </c>
    </row>
    <row r="16" spans="1:14" ht="16.5" customHeight="1">
      <c r="A16" s="629" t="s">
        <v>1716</v>
      </c>
      <c r="B16" s="1768">
        <f>1294696.41+108259.48-175587.2</f>
        <v>1227368.69</v>
      </c>
      <c r="C16" s="1769"/>
      <c r="D16" s="1768">
        <f>ROUND((B16*30.2%),2)</f>
        <v>370665.34</v>
      </c>
      <c r="E16" s="1769"/>
      <c r="F16" s="1768">
        <v>367979.38</v>
      </c>
      <c r="G16" s="1769"/>
      <c r="H16" s="1775">
        <f t="shared" si="0"/>
        <v>2685.960000000021</v>
      </c>
      <c r="I16" s="1776"/>
      <c r="J16" s="630">
        <v>1218474.8600000001</v>
      </c>
      <c r="K16" s="631">
        <f t="shared" si="2"/>
        <v>8893.8299999998417</v>
      </c>
      <c r="L16" s="632">
        <f t="shared" si="3"/>
        <v>8893.8299999998417</v>
      </c>
      <c r="M16" s="633">
        <f>K16-L16</f>
        <v>0</v>
      </c>
    </row>
    <row r="17" spans="1:255">
      <c r="A17" s="629" t="s">
        <v>1717</v>
      </c>
      <c r="B17" s="1768">
        <f>1294696.41+108259.49+175587.2</f>
        <v>1578543.0999999999</v>
      </c>
      <c r="C17" s="1769"/>
      <c r="D17" s="1768">
        <f>ROUND((B17*30.2%),2)</f>
        <v>476720.02</v>
      </c>
      <c r="E17" s="1769"/>
      <c r="F17" s="1768">
        <f>476031.32+0.02</f>
        <v>476031.34</v>
      </c>
      <c r="G17" s="1769"/>
      <c r="H17" s="1768">
        <f t="shared" si="0"/>
        <v>688.67999999999302</v>
      </c>
      <c r="I17" s="1769"/>
      <c r="J17" s="630">
        <f>1576914.71-651.83</f>
        <v>1576262.88</v>
      </c>
      <c r="K17" s="631">
        <f t="shared" si="2"/>
        <v>2280.2199999999721</v>
      </c>
      <c r="L17" s="632">
        <f t="shared" si="3"/>
        <v>2280.2199999999721</v>
      </c>
      <c r="M17" s="633">
        <f>K17-L17</f>
        <v>0</v>
      </c>
    </row>
    <row r="18" spans="1:255" hidden="1">
      <c r="A18" s="638" t="s">
        <v>1163</v>
      </c>
      <c r="B18" s="1780">
        <f>SUM(B6:C17)</f>
        <v>15487832.239999998</v>
      </c>
      <c r="C18" s="1781"/>
      <c r="D18" s="1780">
        <f>SUM(D6:E17)</f>
        <v>4677325.33</v>
      </c>
      <c r="E18" s="1781"/>
      <c r="F18" s="1780">
        <f>SUM(F6:G17)</f>
        <v>4653989.96</v>
      </c>
      <c r="G18" s="1781"/>
      <c r="H18" s="1780">
        <f>SUM(H6:I17)</f>
        <v>23335.370000000112</v>
      </c>
      <c r="I18" s="1781"/>
      <c r="J18" s="630">
        <f>B18</f>
        <v>15487832.239999998</v>
      </c>
      <c r="K18" s="639">
        <f>SUM(K6:K17)</f>
        <v>77269.460000000312</v>
      </c>
      <c r="L18" s="639">
        <f>SUM(L6:L17)</f>
        <v>77269.460000000312</v>
      </c>
      <c r="M18" s="640"/>
      <c r="N18" s="640"/>
      <c r="O18" s="640"/>
      <c r="P18" s="640"/>
      <c r="Q18" s="640"/>
      <c r="R18" s="640"/>
      <c r="S18" s="640"/>
      <c r="T18" s="640"/>
      <c r="U18" s="640"/>
      <c r="V18" s="640"/>
      <c r="W18" s="640"/>
      <c r="X18" s="640"/>
      <c r="Y18" s="640"/>
      <c r="Z18" s="640"/>
      <c r="AA18" s="640"/>
      <c r="AB18" s="640"/>
      <c r="AC18" s="640"/>
      <c r="AD18" s="640"/>
      <c r="AE18" s="640"/>
      <c r="AF18" s="640"/>
      <c r="AG18" s="640"/>
      <c r="AH18" s="640"/>
      <c r="AI18" s="640"/>
      <c r="AJ18" s="640"/>
      <c r="AK18" s="640"/>
      <c r="AL18" s="640"/>
      <c r="AM18" s="640"/>
      <c r="AN18" s="640"/>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c r="CU18" s="640"/>
      <c r="CV18" s="640"/>
      <c r="CW18" s="640"/>
      <c r="CX18" s="640"/>
      <c r="CY18" s="640"/>
      <c r="CZ18" s="640"/>
      <c r="DA18" s="640"/>
      <c r="DB18" s="640"/>
      <c r="DC18" s="640"/>
      <c r="DD18" s="640"/>
      <c r="DE18" s="640"/>
      <c r="DF18" s="640"/>
      <c r="DG18" s="640"/>
      <c r="DH18" s="640"/>
      <c r="DI18" s="640"/>
      <c r="DJ18" s="640"/>
      <c r="DK18" s="640"/>
      <c r="DL18" s="640"/>
      <c r="DM18" s="640"/>
      <c r="DN18" s="640"/>
      <c r="DO18" s="640"/>
      <c r="DP18" s="640"/>
      <c r="DQ18" s="640"/>
      <c r="DR18" s="640"/>
      <c r="DS18" s="640"/>
      <c r="DT18" s="640"/>
      <c r="DU18" s="640"/>
      <c r="DV18" s="640"/>
      <c r="DW18" s="640"/>
      <c r="DX18" s="640"/>
      <c r="DY18" s="640"/>
      <c r="DZ18" s="640"/>
      <c r="EA18" s="640"/>
      <c r="EB18" s="640"/>
      <c r="EC18" s="640"/>
      <c r="ED18" s="640"/>
      <c r="EE18" s="640"/>
      <c r="EF18" s="640"/>
      <c r="EG18" s="640"/>
      <c r="EH18" s="640"/>
      <c r="EI18" s="640"/>
      <c r="EJ18" s="640"/>
      <c r="EK18" s="640"/>
      <c r="EL18" s="640"/>
      <c r="EM18" s="640"/>
      <c r="EN18" s="640"/>
      <c r="EO18" s="640"/>
      <c r="EP18" s="640"/>
      <c r="EQ18" s="640"/>
      <c r="ER18" s="640"/>
      <c r="ES18" s="640"/>
      <c r="ET18" s="640"/>
      <c r="EU18" s="640"/>
      <c r="EV18" s="640"/>
      <c r="EW18" s="640"/>
      <c r="EX18" s="640"/>
      <c r="EY18" s="640"/>
      <c r="EZ18" s="640"/>
      <c r="FA18" s="640"/>
      <c r="FB18" s="640"/>
      <c r="FC18" s="640"/>
      <c r="FD18" s="640"/>
      <c r="FE18" s="640"/>
      <c r="FF18" s="640"/>
      <c r="FG18" s="640"/>
      <c r="FH18" s="640"/>
      <c r="FI18" s="640"/>
      <c r="FJ18" s="640"/>
      <c r="FK18" s="640"/>
      <c r="FL18" s="640"/>
      <c r="FM18" s="640"/>
      <c r="FN18" s="640"/>
      <c r="FO18" s="640"/>
      <c r="FP18" s="640"/>
      <c r="FQ18" s="640"/>
      <c r="FR18" s="640"/>
      <c r="FS18" s="640"/>
      <c r="FT18" s="640"/>
      <c r="FU18" s="640"/>
      <c r="FV18" s="640"/>
      <c r="FW18" s="640"/>
      <c r="FX18" s="640"/>
      <c r="FY18" s="640"/>
      <c r="FZ18" s="640"/>
      <c r="GA18" s="640"/>
      <c r="GB18" s="640"/>
      <c r="GC18" s="640"/>
      <c r="GD18" s="640"/>
      <c r="GE18" s="640"/>
      <c r="GF18" s="640"/>
      <c r="GG18" s="640"/>
      <c r="GH18" s="640"/>
      <c r="GI18" s="640"/>
      <c r="GJ18" s="640"/>
      <c r="GK18" s="640"/>
      <c r="GL18" s="640"/>
      <c r="GM18" s="640"/>
      <c r="GN18" s="640"/>
      <c r="GO18" s="640"/>
      <c r="GP18" s="640"/>
      <c r="GQ18" s="640"/>
      <c r="GR18" s="640"/>
      <c r="GS18" s="640"/>
      <c r="GT18" s="640"/>
      <c r="GU18" s="640"/>
      <c r="GV18" s="640"/>
      <c r="GW18" s="640"/>
      <c r="GX18" s="640"/>
      <c r="GY18" s="640"/>
      <c r="GZ18" s="640"/>
      <c r="HA18" s="640"/>
      <c r="HB18" s="640"/>
      <c r="HC18" s="640"/>
      <c r="HD18" s="640"/>
      <c r="HE18" s="640"/>
      <c r="HF18" s="640"/>
      <c r="HG18" s="640"/>
      <c r="HH18" s="640"/>
      <c r="HI18" s="640"/>
      <c r="HJ18" s="640"/>
      <c r="HK18" s="640"/>
      <c r="HL18" s="640"/>
      <c r="HM18" s="640"/>
      <c r="HN18" s="640"/>
      <c r="HO18" s="640"/>
      <c r="HP18" s="640"/>
      <c r="HQ18" s="640"/>
      <c r="HR18" s="640"/>
      <c r="HS18" s="640"/>
      <c r="HT18" s="640"/>
      <c r="HU18" s="640"/>
      <c r="HV18" s="640"/>
      <c r="HW18" s="640"/>
      <c r="HX18" s="640"/>
      <c r="HY18" s="640"/>
      <c r="HZ18" s="640"/>
      <c r="IA18" s="640"/>
      <c r="IB18" s="640"/>
      <c r="IC18" s="640"/>
      <c r="ID18" s="640"/>
      <c r="IE18" s="640"/>
      <c r="IF18" s="640"/>
      <c r="IG18" s="640"/>
      <c r="IH18" s="640"/>
      <c r="II18" s="640"/>
      <c r="IJ18" s="640"/>
      <c r="IK18" s="640"/>
      <c r="IL18" s="640"/>
      <c r="IM18" s="640"/>
      <c r="IN18" s="640"/>
      <c r="IO18" s="640"/>
      <c r="IP18" s="640"/>
      <c r="IQ18" s="640"/>
      <c r="IR18" s="640"/>
      <c r="IS18" s="640"/>
      <c r="IT18" s="640"/>
      <c r="IU18" s="640"/>
    </row>
    <row r="19" spans="1:255" ht="63.75" hidden="1">
      <c r="A19" s="657" t="s">
        <v>1164</v>
      </c>
      <c r="B19" s="1782"/>
      <c r="C19" s="1782"/>
      <c r="D19" s="1777">
        <f>ROUND((B19*30.2%),2)</f>
        <v>0</v>
      </c>
      <c r="E19" s="1777"/>
      <c r="F19" s="1778"/>
      <c r="G19" s="1779"/>
      <c r="H19" s="1777">
        <f>D19-F19</f>
        <v>0</v>
      </c>
      <c r="I19" s="1777"/>
      <c r="J19" s="630">
        <f>B19</f>
        <v>0</v>
      </c>
      <c r="K19" s="641"/>
      <c r="L19" s="640"/>
      <c r="M19" s="640"/>
      <c r="N19" s="640"/>
      <c r="O19" s="640"/>
      <c r="P19" s="640"/>
      <c r="Q19" s="640"/>
      <c r="R19" s="640"/>
      <c r="S19" s="640"/>
      <c r="T19" s="640"/>
      <c r="U19" s="640"/>
      <c r="V19" s="640"/>
      <c r="W19" s="640"/>
      <c r="X19" s="640"/>
      <c r="Y19" s="640"/>
      <c r="Z19" s="640"/>
      <c r="AA19" s="640"/>
      <c r="AB19" s="640"/>
      <c r="AC19" s="640"/>
      <c r="AD19" s="640"/>
      <c r="AE19" s="640"/>
      <c r="AF19" s="640"/>
      <c r="AG19" s="640"/>
      <c r="AH19" s="640"/>
      <c r="AI19" s="640"/>
      <c r="AJ19" s="640"/>
      <c r="AK19" s="640"/>
      <c r="AL19" s="640"/>
      <c r="AM19" s="640"/>
      <c r="AN19" s="640"/>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c r="CU19" s="640"/>
      <c r="CV19" s="640"/>
      <c r="CW19" s="640"/>
      <c r="CX19" s="640"/>
      <c r="CY19" s="640"/>
      <c r="CZ19" s="640"/>
      <c r="DA19" s="640"/>
      <c r="DB19" s="640"/>
      <c r="DC19" s="640"/>
      <c r="DD19" s="640"/>
      <c r="DE19" s="640"/>
      <c r="DF19" s="640"/>
      <c r="DG19" s="640"/>
      <c r="DH19" s="640"/>
      <c r="DI19" s="640"/>
      <c r="DJ19" s="640"/>
      <c r="DK19" s="640"/>
      <c r="DL19" s="640"/>
      <c r="DM19" s="640"/>
      <c r="DN19" s="640"/>
      <c r="DO19" s="640"/>
      <c r="DP19" s="640"/>
      <c r="DQ19" s="640"/>
      <c r="DR19" s="640"/>
      <c r="DS19" s="640"/>
      <c r="DT19" s="640"/>
      <c r="DU19" s="640"/>
      <c r="DV19" s="640"/>
      <c r="DW19" s="640"/>
      <c r="DX19" s="640"/>
      <c r="DY19" s="640"/>
      <c r="DZ19" s="640"/>
      <c r="EA19" s="640"/>
      <c r="EB19" s="640"/>
      <c r="EC19" s="640"/>
      <c r="ED19" s="640"/>
      <c r="EE19" s="640"/>
      <c r="EF19" s="640"/>
      <c r="EG19" s="640"/>
      <c r="EH19" s="640"/>
      <c r="EI19" s="640"/>
      <c r="EJ19" s="640"/>
      <c r="EK19" s="640"/>
      <c r="EL19" s="640"/>
      <c r="EM19" s="640"/>
      <c r="EN19" s="640"/>
      <c r="EO19" s="640"/>
      <c r="EP19" s="640"/>
      <c r="EQ19" s="640"/>
      <c r="ER19" s="640"/>
      <c r="ES19" s="640"/>
      <c r="ET19" s="640"/>
      <c r="EU19" s="640"/>
      <c r="EV19" s="640"/>
      <c r="EW19" s="640"/>
      <c r="EX19" s="640"/>
      <c r="EY19" s="640"/>
      <c r="EZ19" s="640"/>
      <c r="FA19" s="640"/>
      <c r="FB19" s="640"/>
      <c r="FC19" s="640"/>
      <c r="FD19" s="640"/>
      <c r="FE19" s="640"/>
      <c r="FF19" s="640"/>
      <c r="FG19" s="640"/>
      <c r="FH19" s="640"/>
      <c r="FI19" s="640"/>
      <c r="FJ19" s="640"/>
      <c r="FK19" s="640"/>
      <c r="FL19" s="640"/>
      <c r="FM19" s="640"/>
      <c r="FN19" s="640"/>
      <c r="FO19" s="640"/>
      <c r="FP19" s="640"/>
      <c r="FQ19" s="640"/>
      <c r="FR19" s="640"/>
      <c r="FS19" s="640"/>
      <c r="FT19" s="640"/>
      <c r="FU19" s="640"/>
      <c r="FV19" s="640"/>
      <c r="FW19" s="640"/>
      <c r="FX19" s="640"/>
      <c r="FY19" s="640"/>
      <c r="FZ19" s="640"/>
      <c r="GA19" s="640"/>
      <c r="GB19" s="640"/>
      <c r="GC19" s="640"/>
      <c r="GD19" s="640"/>
      <c r="GE19" s="640"/>
      <c r="GF19" s="640"/>
      <c r="GG19" s="640"/>
      <c r="GH19" s="640"/>
      <c r="GI19" s="640"/>
      <c r="GJ19" s="640"/>
      <c r="GK19" s="640"/>
      <c r="GL19" s="640"/>
      <c r="GM19" s="640"/>
      <c r="GN19" s="640"/>
      <c r="GO19" s="640"/>
      <c r="GP19" s="640"/>
      <c r="GQ19" s="640"/>
      <c r="GR19" s="640"/>
      <c r="GS19" s="640"/>
      <c r="GT19" s="640"/>
      <c r="GU19" s="640"/>
      <c r="GV19" s="640"/>
      <c r="GW19" s="640"/>
      <c r="GX19" s="640"/>
      <c r="GY19" s="640"/>
      <c r="GZ19" s="640"/>
      <c r="HA19" s="640"/>
      <c r="HB19" s="640"/>
      <c r="HC19" s="640"/>
      <c r="HD19" s="640"/>
      <c r="HE19" s="640"/>
      <c r="HF19" s="640"/>
      <c r="HG19" s="640"/>
      <c r="HH19" s="640"/>
      <c r="HI19" s="640"/>
      <c r="HJ19" s="640"/>
      <c r="HK19" s="640"/>
      <c r="HL19" s="640"/>
      <c r="HM19" s="640"/>
      <c r="HN19" s="640"/>
      <c r="HO19" s="640"/>
      <c r="HP19" s="640"/>
      <c r="HQ19" s="640"/>
      <c r="HR19" s="640"/>
      <c r="HS19" s="640"/>
      <c r="HT19" s="640"/>
      <c r="HU19" s="640"/>
      <c r="HV19" s="640"/>
      <c r="HW19" s="640"/>
      <c r="HX19" s="640"/>
      <c r="HY19" s="640"/>
      <c r="HZ19" s="640"/>
      <c r="IA19" s="640"/>
      <c r="IB19" s="640"/>
      <c r="IC19" s="640"/>
      <c r="ID19" s="640"/>
      <c r="IE19" s="640"/>
      <c r="IF19" s="640"/>
      <c r="IG19" s="640"/>
      <c r="IH19" s="640"/>
      <c r="II19" s="640"/>
      <c r="IJ19" s="640"/>
      <c r="IK19" s="640"/>
      <c r="IL19" s="640"/>
      <c r="IM19" s="640"/>
      <c r="IN19" s="640"/>
      <c r="IO19" s="640"/>
      <c r="IP19" s="640"/>
      <c r="IQ19" s="640"/>
      <c r="IR19" s="640"/>
      <c r="IS19" s="640"/>
      <c r="IT19" s="640"/>
      <c r="IU19" s="640"/>
    </row>
    <row r="20" spans="1:255" ht="23.25" customHeight="1">
      <c r="A20" s="642" t="s">
        <v>1165</v>
      </c>
      <c r="B20" s="1780">
        <f>B19+B18</f>
        <v>15487832.239999998</v>
      </c>
      <c r="C20" s="1781"/>
      <c r="D20" s="1780">
        <f>D19+D18</f>
        <v>4677325.33</v>
      </c>
      <c r="E20" s="1781"/>
      <c r="F20" s="1780">
        <f>F19+F18</f>
        <v>4653989.96</v>
      </c>
      <c r="G20" s="1781"/>
      <c r="H20" s="1780">
        <f>H19+H18</f>
        <v>23335.370000000112</v>
      </c>
      <c r="I20" s="1781"/>
      <c r="L20" s="659">
        <f>SUM(L6:L17)</f>
        <v>77269.460000000312</v>
      </c>
    </row>
    <row r="21" spans="1:255" s="576" customFormat="1" ht="23.25" customHeight="1">
      <c r="A21" s="643">
        <f>B21-B20</f>
        <v>0</v>
      </c>
      <c r="B21" s="1783">
        <f>15271313.27+172037.15+28708.71+15773.11</f>
        <v>15487832.24</v>
      </c>
      <c r="C21" s="1783"/>
      <c r="D21" s="793"/>
      <c r="E21" s="793"/>
      <c r="F21" s="793"/>
      <c r="G21" s="793"/>
      <c r="H21" s="644"/>
      <c r="I21" s="644"/>
    </row>
    <row r="22" spans="1:255" ht="38.25" customHeight="1">
      <c r="A22" s="1788" t="s">
        <v>1166</v>
      </c>
      <c r="B22" s="1788"/>
      <c r="C22" s="1788"/>
      <c r="D22" s="1788"/>
      <c r="E22" s="1788"/>
      <c r="F22" s="1788"/>
      <c r="G22" s="645"/>
      <c r="H22" s="1791">
        <f>H20</f>
        <v>23335.370000000112</v>
      </c>
      <c r="I22" s="1791"/>
    </row>
    <row r="23" spans="1:255" ht="34.5" customHeight="1">
      <c r="A23" s="1785" t="s">
        <v>273</v>
      </c>
      <c r="B23" s="1786"/>
      <c r="C23" s="1786"/>
      <c r="D23" s="1786"/>
      <c r="E23" s="1786"/>
      <c r="F23" s="1786"/>
      <c r="G23" s="1787"/>
      <c r="H23" s="1792">
        <v>-22646.69</v>
      </c>
      <c r="I23" s="1793"/>
      <c r="K23" s="154">
        <f>4653989.96</f>
        <v>4653989.96</v>
      </c>
      <c r="L23" s="802">
        <v>0.30199999999999999</v>
      </c>
    </row>
    <row r="24" spans="1:255" ht="26.25" hidden="1" customHeight="1">
      <c r="A24" s="1789"/>
      <c r="B24" s="1789"/>
      <c r="C24" s="1789"/>
      <c r="D24" s="1789"/>
      <c r="E24" s="1789"/>
      <c r="F24" s="1789"/>
      <c r="G24" s="646" t="s">
        <v>1167</v>
      </c>
      <c r="H24" s="646" t="s">
        <v>1168</v>
      </c>
      <c r="J24" s="647"/>
      <c r="K24" s="582"/>
    </row>
    <row r="25" spans="1:255" ht="23.25" hidden="1" customHeight="1">
      <c r="A25" s="1784" t="s">
        <v>1185</v>
      </c>
      <c r="B25" s="1784"/>
      <c r="C25" s="1784"/>
      <c r="D25" s="1784"/>
      <c r="E25" s="1784"/>
      <c r="F25" s="1784"/>
      <c r="G25" s="648">
        <v>15271313.27</v>
      </c>
      <c r="H25" s="648">
        <v>4611936.6100000003</v>
      </c>
    </row>
    <row r="26" spans="1:255" ht="27.75" hidden="1" customHeight="1">
      <c r="A26" s="1794" t="s">
        <v>1186</v>
      </c>
      <c r="B26" s="1795"/>
      <c r="C26" s="1795"/>
      <c r="D26" s="1795"/>
      <c r="E26" s="1795"/>
      <c r="F26" s="1796"/>
      <c r="G26" s="648"/>
      <c r="H26" s="648">
        <v>-19960.73</v>
      </c>
      <c r="I26" s="658"/>
    </row>
    <row r="27" spans="1:255" ht="27.75" hidden="1" customHeight="1">
      <c r="A27" s="1794" t="s">
        <v>1169</v>
      </c>
      <c r="B27" s="1795"/>
      <c r="C27" s="1795"/>
      <c r="D27" s="1795"/>
      <c r="E27" s="1795"/>
      <c r="F27" s="1796"/>
      <c r="G27" s="648"/>
      <c r="H27" s="648"/>
      <c r="I27" s="658"/>
    </row>
    <row r="28" spans="1:255" ht="27.75" hidden="1" customHeight="1">
      <c r="A28" s="1794" t="s">
        <v>1169</v>
      </c>
      <c r="B28" s="1795"/>
      <c r="C28" s="1795"/>
      <c r="D28" s="1795"/>
      <c r="E28" s="1795"/>
      <c r="F28" s="1796"/>
      <c r="G28" s="648"/>
      <c r="H28" s="648"/>
      <c r="I28" s="658"/>
    </row>
    <row r="29" spans="1:255" ht="23.25" hidden="1" customHeight="1">
      <c r="A29" s="1800" t="s">
        <v>1170</v>
      </c>
      <c r="B29" s="1801"/>
      <c r="C29" s="1801"/>
      <c r="D29" s="1801"/>
      <c r="E29" s="1801"/>
      <c r="F29" s="1802"/>
      <c r="G29" s="648">
        <f>G25+G28</f>
        <v>15271313.27</v>
      </c>
      <c r="H29" s="648">
        <f>H25+H28</f>
        <v>4611936.6100000003</v>
      </c>
    </row>
    <row r="30" spans="1:255" ht="23.25" customHeight="1">
      <c r="A30" s="1797" t="s">
        <v>1182</v>
      </c>
      <c r="B30" s="1797"/>
      <c r="C30" s="1797"/>
      <c r="D30" s="1797"/>
      <c r="E30" s="1797"/>
      <c r="F30" s="1797"/>
      <c r="G30" s="1797"/>
      <c r="H30" s="1797"/>
      <c r="I30" s="645">
        <f>H22+H23</f>
        <v>688.68000000011307</v>
      </c>
      <c r="K30" s="804">
        <f>K23*L30/L23</f>
        <v>15410562.781456955</v>
      </c>
      <c r="L30" s="803">
        <v>1</v>
      </c>
    </row>
    <row r="31" spans="1:255" ht="15" hidden="1">
      <c r="A31" s="649"/>
      <c r="B31" s="649"/>
      <c r="C31" s="649"/>
      <c r="D31" s="649"/>
      <c r="E31" s="649"/>
      <c r="F31" s="649"/>
      <c r="G31" s="645"/>
      <c r="H31" s="645"/>
      <c r="J31" s="633">
        <f>(J24-J18)/3</f>
        <v>-5162610.7466666661</v>
      </c>
      <c r="K31" s="804"/>
    </row>
    <row r="32" spans="1:255" hidden="1">
      <c r="A32" s="1790" t="s">
        <v>1538</v>
      </c>
      <c r="B32" s="1798" t="s">
        <v>1171</v>
      </c>
      <c r="C32" s="1768" t="s">
        <v>1172</v>
      </c>
      <c r="D32" s="1799"/>
      <c r="E32" s="1799"/>
      <c r="F32" s="1769"/>
      <c r="G32" s="1790" t="s">
        <v>1173</v>
      </c>
      <c r="H32" s="1790" t="s">
        <v>1174</v>
      </c>
      <c r="I32" s="1790" t="s">
        <v>1175</v>
      </c>
      <c r="K32" s="804"/>
    </row>
    <row r="33" spans="1:255" ht="38.25" hidden="1">
      <c r="A33" s="1790"/>
      <c r="B33" s="1790"/>
      <c r="C33" s="650" t="s">
        <v>1176</v>
      </c>
      <c r="D33" s="650" t="s">
        <v>1177</v>
      </c>
      <c r="E33" s="650" t="s">
        <v>1178</v>
      </c>
      <c r="F33" s="651" t="s">
        <v>1179</v>
      </c>
      <c r="G33" s="1790"/>
      <c r="H33" s="1790"/>
      <c r="I33" s="1790"/>
      <c r="K33" s="804"/>
    </row>
    <row r="34" spans="1:255" ht="51" hidden="1">
      <c r="A34" s="652" t="s">
        <v>1180</v>
      </c>
      <c r="B34" s="653">
        <v>601461.07999999996</v>
      </c>
      <c r="C34" s="653">
        <v>48970.33</v>
      </c>
      <c r="D34" s="653">
        <v>48970.33</v>
      </c>
      <c r="E34" s="653">
        <v>48970.33</v>
      </c>
      <c r="F34" s="653">
        <f>SUM(B34:E34)</f>
        <v>748372.06999999983</v>
      </c>
      <c r="G34" s="653">
        <v>568000</v>
      </c>
      <c r="H34" s="653">
        <f>F34-G34</f>
        <v>180372.06999999983</v>
      </c>
      <c r="I34" s="653">
        <f>H34*20.2%</f>
        <v>36435.158139999963</v>
      </c>
      <c r="K34" s="804"/>
      <c r="N34" s="640"/>
      <c r="O34" s="640"/>
      <c r="P34" s="640"/>
      <c r="Q34" s="640"/>
      <c r="R34" s="640"/>
      <c r="S34" s="640"/>
      <c r="T34" s="640"/>
      <c r="U34" s="640"/>
      <c r="V34" s="640"/>
      <c r="W34" s="640"/>
      <c r="X34" s="640"/>
      <c r="Y34" s="640"/>
      <c r="Z34" s="640"/>
      <c r="AA34" s="640"/>
      <c r="AB34" s="640"/>
      <c r="AC34" s="640"/>
      <c r="AD34" s="640"/>
      <c r="AE34" s="640"/>
      <c r="AF34" s="640"/>
      <c r="AG34" s="640"/>
      <c r="AH34" s="640"/>
      <c r="AI34" s="640"/>
      <c r="AJ34" s="640"/>
      <c r="AK34" s="640"/>
      <c r="AL34" s="640"/>
      <c r="AM34" s="640"/>
      <c r="AN34" s="640"/>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c r="CU34" s="640"/>
      <c r="CV34" s="640"/>
      <c r="CW34" s="640"/>
      <c r="CX34" s="640"/>
      <c r="CY34" s="640"/>
      <c r="CZ34" s="640"/>
      <c r="DA34" s="640"/>
      <c r="DB34" s="640"/>
      <c r="DC34" s="640"/>
      <c r="DD34" s="640"/>
      <c r="DE34" s="640"/>
      <c r="DF34" s="640"/>
      <c r="DG34" s="640"/>
      <c r="DH34" s="640"/>
      <c r="DI34" s="640"/>
      <c r="DJ34" s="640"/>
      <c r="DK34" s="640"/>
      <c r="DL34" s="640"/>
      <c r="DM34" s="640"/>
      <c r="DN34" s="640"/>
      <c r="DO34" s="640"/>
      <c r="DP34" s="640"/>
      <c r="DQ34" s="640"/>
      <c r="DR34" s="640"/>
      <c r="DS34" s="640"/>
      <c r="DT34" s="640"/>
      <c r="DU34" s="640"/>
      <c r="DV34" s="640"/>
      <c r="DW34" s="640"/>
      <c r="DX34" s="640"/>
      <c r="DY34" s="640"/>
      <c r="DZ34" s="640"/>
      <c r="EA34" s="640"/>
      <c r="EB34" s="640"/>
      <c r="EC34" s="640"/>
      <c r="ED34" s="640"/>
      <c r="EE34" s="640"/>
      <c r="EF34" s="640"/>
      <c r="EG34" s="640"/>
      <c r="EH34" s="640"/>
      <c r="EI34" s="640"/>
      <c r="EJ34" s="640"/>
      <c r="EK34" s="640"/>
      <c r="EL34" s="640"/>
      <c r="EM34" s="640"/>
      <c r="EN34" s="640"/>
      <c r="EO34" s="640"/>
      <c r="EP34" s="640"/>
      <c r="EQ34" s="640"/>
      <c r="ER34" s="640"/>
      <c r="ES34" s="640"/>
      <c r="ET34" s="640"/>
      <c r="EU34" s="640"/>
      <c r="EV34" s="640"/>
      <c r="EW34" s="640"/>
      <c r="EX34" s="640"/>
      <c r="EY34" s="640"/>
      <c r="EZ34" s="640"/>
      <c r="FA34" s="640"/>
      <c r="FB34" s="640"/>
      <c r="FC34" s="640"/>
      <c r="FD34" s="640"/>
      <c r="FE34" s="640"/>
      <c r="FF34" s="640"/>
      <c r="FG34" s="640"/>
      <c r="FH34" s="640"/>
      <c r="FI34" s="640"/>
      <c r="FJ34" s="640"/>
      <c r="FK34" s="640"/>
      <c r="FL34" s="640"/>
      <c r="FM34" s="640"/>
      <c r="FN34" s="640"/>
      <c r="FO34" s="640"/>
      <c r="FP34" s="640"/>
      <c r="FQ34" s="640"/>
      <c r="FR34" s="640"/>
      <c r="FS34" s="640"/>
      <c r="FT34" s="640"/>
      <c r="FU34" s="640"/>
      <c r="FV34" s="640"/>
      <c r="FW34" s="640"/>
      <c r="FX34" s="640"/>
      <c r="FY34" s="640"/>
      <c r="FZ34" s="640"/>
      <c r="GA34" s="640"/>
      <c r="GB34" s="640"/>
      <c r="GC34" s="640"/>
      <c r="GD34" s="640"/>
      <c r="GE34" s="640"/>
      <c r="GF34" s="640"/>
      <c r="GG34" s="640"/>
      <c r="GH34" s="640"/>
      <c r="GI34" s="640"/>
      <c r="GJ34" s="640"/>
      <c r="GK34" s="640"/>
      <c r="GL34" s="640"/>
      <c r="GM34" s="640"/>
      <c r="GN34" s="640"/>
      <c r="GO34" s="640"/>
      <c r="GP34" s="640"/>
      <c r="GQ34" s="640"/>
      <c r="GR34" s="640"/>
      <c r="GS34" s="640"/>
      <c r="GT34" s="640"/>
      <c r="GU34" s="640"/>
      <c r="GV34" s="640"/>
      <c r="GW34" s="640"/>
      <c r="GX34" s="640"/>
      <c r="GY34" s="640"/>
      <c r="GZ34" s="640"/>
      <c r="HA34" s="640"/>
      <c r="HB34" s="640"/>
      <c r="HC34" s="640"/>
      <c r="HD34" s="640"/>
      <c r="HE34" s="640"/>
      <c r="HF34" s="640"/>
      <c r="HG34" s="640"/>
      <c r="HH34" s="640"/>
      <c r="HI34" s="640"/>
      <c r="HJ34" s="640"/>
      <c r="HK34" s="640"/>
      <c r="HL34" s="640"/>
      <c r="HM34" s="640"/>
      <c r="HN34" s="640"/>
      <c r="HO34" s="640"/>
      <c r="HP34" s="640"/>
      <c r="HQ34" s="640"/>
      <c r="HR34" s="640"/>
      <c r="HS34" s="640"/>
      <c r="HT34" s="640"/>
      <c r="HU34" s="640"/>
      <c r="HV34" s="640"/>
      <c r="HW34" s="640"/>
      <c r="HX34" s="640"/>
      <c r="HY34" s="640"/>
      <c r="HZ34" s="640"/>
      <c r="IA34" s="640"/>
      <c r="IB34" s="640"/>
      <c r="IC34" s="640"/>
      <c r="ID34" s="640"/>
      <c r="IE34" s="640"/>
      <c r="IF34" s="640"/>
      <c r="IG34" s="640"/>
      <c r="IH34" s="640"/>
      <c r="II34" s="640"/>
      <c r="IJ34" s="640"/>
      <c r="IK34" s="640"/>
      <c r="IL34" s="640"/>
      <c r="IM34" s="640"/>
      <c r="IN34" s="640"/>
      <c r="IO34" s="640"/>
      <c r="IP34" s="640"/>
      <c r="IQ34" s="640"/>
      <c r="IR34" s="640"/>
      <c r="IS34" s="640"/>
      <c r="IT34" s="640"/>
      <c r="IU34" s="640"/>
    </row>
    <row r="35" spans="1:255" ht="15" hidden="1">
      <c r="A35" s="654" t="s">
        <v>1181</v>
      </c>
      <c r="B35" s="655">
        <f t="shared" ref="B35:I35" si="4">SUM(B34:B34)</f>
        <v>601461.07999999996</v>
      </c>
      <c r="C35" s="655">
        <f t="shared" si="4"/>
        <v>48970.33</v>
      </c>
      <c r="D35" s="655">
        <f t="shared" si="4"/>
        <v>48970.33</v>
      </c>
      <c r="E35" s="655">
        <f t="shared" si="4"/>
        <v>48970.33</v>
      </c>
      <c r="F35" s="655">
        <f t="shared" si="4"/>
        <v>748372.06999999983</v>
      </c>
      <c r="G35" s="655">
        <f t="shared" si="4"/>
        <v>568000</v>
      </c>
      <c r="H35" s="655">
        <f t="shared" si="4"/>
        <v>180372.06999999983</v>
      </c>
      <c r="I35" s="648">
        <f t="shared" si="4"/>
        <v>36435.158139999963</v>
      </c>
      <c r="K35" s="804"/>
    </row>
    <row r="36" spans="1:255" ht="15" hidden="1">
      <c r="A36" s="649"/>
      <c r="B36" s="649"/>
      <c r="C36" s="649"/>
      <c r="D36" s="649"/>
      <c r="E36" s="649"/>
      <c r="F36" s="649"/>
      <c r="G36" s="645"/>
      <c r="H36" s="645"/>
      <c r="K36" s="804"/>
    </row>
    <row r="37" spans="1:255" hidden="1">
      <c r="K37" s="804"/>
    </row>
    <row r="38" spans="1:255" ht="27.75" hidden="1" customHeight="1">
      <c r="A38" s="1797" t="s">
        <v>1182</v>
      </c>
      <c r="B38" s="1797"/>
      <c r="C38" s="1797"/>
      <c r="D38" s="1797"/>
      <c r="E38" s="1797"/>
      <c r="F38" s="1797"/>
      <c r="G38" s="1797"/>
      <c r="H38" s="1797"/>
      <c r="I38" s="645">
        <f>H22+I28</f>
        <v>23335.370000000112</v>
      </c>
      <c r="K38" s="804"/>
    </row>
    <row r="39" spans="1:255" ht="15">
      <c r="I39" s="645"/>
      <c r="K39" s="804">
        <v>15487832.24</v>
      </c>
    </row>
    <row r="40" spans="1:255">
      <c r="A40" s="656" t="s">
        <v>1183</v>
      </c>
      <c r="K40" s="804">
        <f>K39-K30</f>
        <v>77269.458543045446</v>
      </c>
    </row>
  </sheetData>
  <mergeCells count="86">
    <mergeCell ref="A38:H38"/>
    <mergeCell ref="A27:F27"/>
    <mergeCell ref="A32:A33"/>
    <mergeCell ref="B32:B33"/>
    <mergeCell ref="C32:F32"/>
    <mergeCell ref="A28:F28"/>
    <mergeCell ref="A29:F29"/>
    <mergeCell ref="H32:H33"/>
    <mergeCell ref="A30:H30"/>
    <mergeCell ref="A25:F25"/>
    <mergeCell ref="A23:G23"/>
    <mergeCell ref="A22:F22"/>
    <mergeCell ref="A24:F24"/>
    <mergeCell ref="I32:I33"/>
    <mergeCell ref="G32:G33"/>
    <mergeCell ref="H22:I22"/>
    <mergeCell ref="H23:I23"/>
    <mergeCell ref="A26:F26"/>
    <mergeCell ref="H15:I15"/>
    <mergeCell ref="H16:I16"/>
    <mergeCell ref="B16:C16"/>
    <mergeCell ref="D16:E16"/>
    <mergeCell ref="B21:C21"/>
    <mergeCell ref="B20:C20"/>
    <mergeCell ref="D20:E20"/>
    <mergeCell ref="F20:G20"/>
    <mergeCell ref="H20:I20"/>
    <mergeCell ref="H19:I19"/>
    <mergeCell ref="H18:I18"/>
    <mergeCell ref="B17:C17"/>
    <mergeCell ref="D17:E17"/>
    <mergeCell ref="F17:G17"/>
    <mergeCell ref="H17:I17"/>
    <mergeCell ref="B19:C19"/>
    <mergeCell ref="B18:C18"/>
    <mergeCell ref="D18:E18"/>
    <mergeCell ref="F18:G18"/>
    <mergeCell ref="D19:E19"/>
    <mergeCell ref="F16:G16"/>
    <mergeCell ref="F19:G19"/>
    <mergeCell ref="B15:C15"/>
    <mergeCell ref="D15:E15"/>
    <mergeCell ref="F15:G15"/>
    <mergeCell ref="D14:E14"/>
    <mergeCell ref="F14:G14"/>
    <mergeCell ref="B10:C10"/>
    <mergeCell ref="D10:E10"/>
    <mergeCell ref="F10:G10"/>
    <mergeCell ref="B12:C12"/>
    <mergeCell ref="D12:E12"/>
    <mergeCell ref="F12:G12"/>
    <mergeCell ref="D13:E13"/>
    <mergeCell ref="H14:I14"/>
    <mergeCell ref="B11:C11"/>
    <mergeCell ref="D11:E11"/>
    <mergeCell ref="F11:G11"/>
    <mergeCell ref="H11:I11"/>
    <mergeCell ref="F13:G13"/>
    <mergeCell ref="H13:I13"/>
    <mergeCell ref="B13:C13"/>
    <mergeCell ref="B14:C14"/>
    <mergeCell ref="B8:C8"/>
    <mergeCell ref="D8:E8"/>
    <mergeCell ref="F8:G8"/>
    <mergeCell ref="H8:I8"/>
    <mergeCell ref="H12:I12"/>
    <mergeCell ref="B9:C9"/>
    <mergeCell ref="D9:E9"/>
    <mergeCell ref="F9:G9"/>
    <mergeCell ref="H9:I9"/>
    <mergeCell ref="H10:I10"/>
    <mergeCell ref="A1:I1"/>
    <mergeCell ref="A2:I2"/>
    <mergeCell ref="A3:I3"/>
    <mergeCell ref="B5:C5"/>
    <mergeCell ref="D5:E5"/>
    <mergeCell ref="F5:G5"/>
    <mergeCell ref="H5:I5"/>
    <mergeCell ref="B7:C7"/>
    <mergeCell ref="D7:E7"/>
    <mergeCell ref="F7:G7"/>
    <mergeCell ref="H7:I7"/>
    <mergeCell ref="B6:C6"/>
    <mergeCell ref="D6:E6"/>
    <mergeCell ref="F6:G6"/>
    <mergeCell ref="H6:I6"/>
  </mergeCells>
  <phoneticPr fontId="116" type="noConversion"/>
  <pageMargins left="0.39370078740157483" right="0.39370078740157483" top="0.39370078740157483" bottom="0" header="0.31496062992125984" footer="0"/>
  <pageSetup paperSize="9" scale="97" orientation="landscape" r:id="rId1"/>
</worksheet>
</file>

<file path=xl/worksheets/sheet24.xml><?xml version="1.0" encoding="utf-8"?>
<worksheet xmlns="http://schemas.openxmlformats.org/spreadsheetml/2006/main" xmlns:r="http://schemas.openxmlformats.org/officeDocument/2006/relationships">
  <sheetPr codeName="Лист7">
    <tabColor rgb="FFFF0000"/>
  </sheetPr>
  <dimension ref="A1:H28"/>
  <sheetViews>
    <sheetView view="pageBreakPreview" zoomScaleNormal="100" zoomScaleSheetLayoutView="100" workbookViewId="0">
      <selection activeCell="G22" sqref="G22"/>
    </sheetView>
  </sheetViews>
  <sheetFormatPr defaultRowHeight="15"/>
  <cols>
    <col min="1" max="1" width="5.28515625" style="1" customWidth="1"/>
    <col min="2" max="2" width="39.7109375" style="1" customWidth="1"/>
    <col min="3" max="3" width="8.5703125" style="1" customWidth="1"/>
    <col min="4" max="4" width="13.7109375" style="1" customWidth="1"/>
    <col min="5" max="5" width="12.5703125" style="1" customWidth="1"/>
    <col min="6" max="6" width="14.5703125" style="1" customWidth="1"/>
    <col min="7" max="7" width="16" style="1" customWidth="1"/>
    <col min="8" max="16384" width="9.140625" style="1"/>
  </cols>
  <sheetData>
    <row r="1" spans="1:7" ht="15.75">
      <c r="A1" s="234"/>
      <c r="B1" s="234"/>
      <c r="C1" s="234"/>
      <c r="D1" s="234"/>
      <c r="E1" s="234"/>
      <c r="F1" s="234"/>
      <c r="G1" s="234"/>
    </row>
    <row r="2" spans="1:7" ht="15.75">
      <c r="A2" s="1680" t="s">
        <v>1376</v>
      </c>
      <c r="B2" s="1680"/>
      <c r="C2" s="1680"/>
      <c r="D2" s="1680"/>
      <c r="E2" s="1680"/>
      <c r="F2" s="1680"/>
      <c r="G2" s="1680"/>
    </row>
    <row r="3" spans="1:7" ht="15.75">
      <c r="A3" s="235"/>
      <c r="B3" s="235"/>
      <c r="C3" s="235"/>
      <c r="D3" s="235"/>
      <c r="E3" s="235"/>
      <c r="F3" s="234"/>
      <c r="G3" s="234"/>
    </row>
    <row r="4" spans="1:7" ht="15.75">
      <c r="A4" s="1808" t="s">
        <v>133</v>
      </c>
      <c r="B4" s="1808"/>
      <c r="C4" s="1808"/>
      <c r="D4" s="1808"/>
      <c r="E4" s="1808"/>
      <c r="F4" s="1808"/>
      <c r="G4" s="1808"/>
    </row>
    <row r="5" spans="1:7" ht="15.75">
      <c r="A5" s="234"/>
      <c r="B5" s="234"/>
      <c r="C5" s="234"/>
      <c r="D5" s="234"/>
      <c r="E5" s="234"/>
      <c r="F5" s="234"/>
      <c r="G5" s="234"/>
    </row>
    <row r="6" spans="1:7" ht="15.75">
      <c r="A6" s="669" t="s">
        <v>134</v>
      </c>
      <c r="B6" s="234"/>
      <c r="C6" s="234"/>
      <c r="D6" s="234"/>
      <c r="E6" s="234"/>
      <c r="F6" s="234"/>
      <c r="G6" s="234"/>
    </row>
    <row r="7" spans="1:7" ht="15.75">
      <c r="A7" s="234"/>
      <c r="B7" s="234"/>
      <c r="C7" s="234"/>
      <c r="D7" s="234"/>
      <c r="E7" s="234"/>
      <c r="F7" s="234"/>
      <c r="G7" s="234"/>
    </row>
    <row r="8" spans="1:7" ht="15.75">
      <c r="A8" s="235"/>
      <c r="B8" s="235"/>
      <c r="C8" s="235"/>
      <c r="D8" s="235"/>
      <c r="E8" s="235"/>
      <c r="F8" s="234"/>
      <c r="G8" s="209" t="s">
        <v>951</v>
      </c>
    </row>
    <row r="9" spans="1:7" ht="15.75">
      <c r="A9" s="235"/>
      <c r="B9" s="235"/>
      <c r="C9" s="235"/>
      <c r="D9" s="235"/>
      <c r="E9" s="235"/>
      <c r="F9" s="234"/>
      <c r="G9" s="209"/>
    </row>
    <row r="10" spans="1:7" ht="15" customHeight="1">
      <c r="A10" s="1804" t="s">
        <v>1379</v>
      </c>
      <c r="B10" s="1804"/>
      <c r="C10" s="1804"/>
      <c r="D10" s="1804"/>
      <c r="E10" s="1804"/>
      <c r="F10" s="1804"/>
      <c r="G10" s="1804"/>
    </row>
    <row r="11" spans="1:7" ht="15.75">
      <c r="A11" s="249"/>
      <c r="B11" s="249"/>
      <c r="C11" s="249"/>
      <c r="D11" s="249"/>
      <c r="E11" s="249"/>
      <c r="F11" s="234"/>
      <c r="G11" s="234"/>
    </row>
    <row r="12" spans="1:7" ht="47.25">
      <c r="A12" s="334" t="s">
        <v>1255</v>
      </c>
      <c r="B12" s="334" t="s">
        <v>1297</v>
      </c>
      <c r="C12" s="334" t="s">
        <v>1257</v>
      </c>
      <c r="D12" s="334" t="s">
        <v>211</v>
      </c>
      <c r="E12" s="334" t="s">
        <v>1298</v>
      </c>
      <c r="F12" s="334" t="s">
        <v>1299</v>
      </c>
      <c r="G12" s="334" t="s">
        <v>1391</v>
      </c>
    </row>
    <row r="13" spans="1:7" ht="15.75">
      <c r="A13" s="229">
        <v>1</v>
      </c>
      <c r="B13" s="229">
        <v>2</v>
      </c>
      <c r="C13" s="229">
        <v>3</v>
      </c>
      <c r="D13" s="229">
        <v>4</v>
      </c>
      <c r="E13" s="230">
        <v>5</v>
      </c>
      <c r="F13" s="230">
        <v>6</v>
      </c>
      <c r="G13" s="230">
        <v>7</v>
      </c>
    </row>
    <row r="14" spans="1:7" ht="15.75">
      <c r="A14" s="230">
        <v>1</v>
      </c>
      <c r="B14" s="243" t="s">
        <v>1802</v>
      </c>
      <c r="C14" s="229" t="s">
        <v>1296</v>
      </c>
      <c r="D14" s="229" t="s">
        <v>1296</v>
      </c>
      <c r="E14" s="229" t="s">
        <v>1296</v>
      </c>
      <c r="F14" s="229" t="s">
        <v>1296</v>
      </c>
      <c r="G14" s="232"/>
    </row>
    <row r="15" spans="1:7" ht="33.75" customHeight="1">
      <c r="A15" s="230">
        <v>2</v>
      </c>
      <c r="B15" s="504" t="s">
        <v>1096</v>
      </c>
      <c r="C15" s="229" t="s">
        <v>1296</v>
      </c>
      <c r="D15" s="229" t="s">
        <v>1296</v>
      </c>
      <c r="E15" s="229" t="s">
        <v>1296</v>
      </c>
      <c r="F15" s="229" t="s">
        <v>1296</v>
      </c>
      <c r="G15" s="232"/>
    </row>
    <row r="16" spans="1:7" ht="31.5">
      <c r="A16" s="230">
        <v>3</v>
      </c>
      <c r="B16" s="243" t="s">
        <v>451</v>
      </c>
      <c r="C16" s="229"/>
      <c r="D16" s="338"/>
      <c r="E16" s="338"/>
      <c r="F16" s="232"/>
      <c r="G16" s="232">
        <f>G17+G18+G19</f>
        <v>42638.879999999997</v>
      </c>
    </row>
    <row r="17" spans="1:8" ht="14.25" customHeight="1">
      <c r="A17" s="1089" t="s">
        <v>452</v>
      </c>
      <c r="B17" s="1088" t="s">
        <v>454</v>
      </c>
      <c r="C17" s="1085" t="s">
        <v>450</v>
      </c>
      <c r="D17" s="1086">
        <v>4</v>
      </c>
      <c r="E17" s="1086">
        <v>12</v>
      </c>
      <c r="F17" s="1087">
        <f>ROUND((200+255)*1.18,2)</f>
        <v>536.9</v>
      </c>
      <c r="G17" s="1087">
        <f>D17*E17*F17</f>
        <v>25771.199999999997</v>
      </c>
    </row>
    <row r="18" spans="1:8" ht="32.25" customHeight="1">
      <c r="A18" s="1089" t="s">
        <v>453</v>
      </c>
      <c r="B18" s="1088" t="s">
        <v>458</v>
      </c>
      <c r="C18" s="1085" t="s">
        <v>450</v>
      </c>
      <c r="D18" s="1086">
        <v>1</v>
      </c>
      <c r="E18" s="1086">
        <v>12</v>
      </c>
      <c r="F18" s="1087">
        <f>ROUND((723)*1.18,2)</f>
        <v>853.14</v>
      </c>
      <c r="G18" s="1087">
        <f>D18*E18*F18</f>
        <v>10237.68</v>
      </c>
    </row>
    <row r="19" spans="1:8" ht="31.5" customHeight="1">
      <c r="A19" s="1089" t="s">
        <v>456</v>
      </c>
      <c r="B19" s="1088" t="s">
        <v>455</v>
      </c>
      <c r="C19" s="1085" t="s">
        <v>457</v>
      </c>
      <c r="D19" s="1086">
        <v>130</v>
      </c>
      <c r="E19" s="1086">
        <v>12</v>
      </c>
      <c r="F19" s="1087">
        <f>ROUND((3.6)*1.18,2)</f>
        <v>4.25</v>
      </c>
      <c r="G19" s="1087">
        <f>D19*E19*F19</f>
        <v>6630</v>
      </c>
    </row>
    <row r="20" spans="1:8" ht="31.5">
      <c r="A20" s="245" t="s">
        <v>1272</v>
      </c>
      <c r="B20" s="243" t="s">
        <v>449</v>
      </c>
      <c r="C20" s="229" t="s">
        <v>450</v>
      </c>
      <c r="D20" s="338">
        <v>1</v>
      </c>
      <c r="E20" s="338">
        <v>12</v>
      </c>
      <c r="F20" s="232">
        <v>3199.99</v>
      </c>
      <c r="G20" s="232">
        <f>D20*E20*F20</f>
        <v>38399.879999999997</v>
      </c>
    </row>
    <row r="21" spans="1:8" ht="24" customHeight="1">
      <c r="A21" s="245" t="s">
        <v>1829</v>
      </c>
      <c r="B21" s="1090" t="s">
        <v>459</v>
      </c>
      <c r="C21" s="229" t="s">
        <v>450</v>
      </c>
      <c r="D21" s="338">
        <v>100</v>
      </c>
      <c r="E21" s="338">
        <v>1</v>
      </c>
      <c r="F21" s="232">
        <v>30</v>
      </c>
      <c r="G21" s="232">
        <f>D21*E21*F21</f>
        <v>3000</v>
      </c>
    </row>
    <row r="22" spans="1:8" ht="15.75">
      <c r="A22" s="230"/>
      <c r="B22" s="1805" t="s">
        <v>183</v>
      </c>
      <c r="C22" s="1806"/>
      <c r="D22" s="1806"/>
      <c r="E22" s="1806"/>
      <c r="F22" s="1807"/>
      <c r="G22" s="354">
        <f>G16+G20+G21</f>
        <v>84038.76</v>
      </c>
    </row>
    <row r="25" spans="1:8" s="207" customFormat="1" ht="15.75">
      <c r="B25" s="234" t="s">
        <v>1077</v>
      </c>
      <c r="C25" s="221"/>
      <c r="D25" s="507"/>
      <c r="E25" s="221"/>
      <c r="F25" s="507"/>
      <c r="G25" s="508"/>
      <c r="H25" s="510"/>
    </row>
    <row r="26" spans="1:8" s="207" customFormat="1" ht="15.75">
      <c r="B26" s="221"/>
      <c r="C26" s="221"/>
      <c r="D26" s="217" t="s">
        <v>1078</v>
      </c>
      <c r="E26" s="221"/>
      <c r="F26" s="1759" t="s">
        <v>1079</v>
      </c>
      <c r="G26" s="1759"/>
      <c r="H26" s="1803"/>
    </row>
    <row r="27" spans="1:8" s="207" customFormat="1" ht="15.75">
      <c r="B27" s="505" t="s">
        <v>1076</v>
      </c>
      <c r="C27" s="221"/>
      <c r="D27" s="507"/>
      <c r="E27" s="221"/>
      <c r="F27" s="221"/>
      <c r="G27" s="217"/>
      <c r="H27" s="510"/>
    </row>
    <row r="28" spans="1:8" s="207" customFormat="1" ht="15.75">
      <c r="B28" s="221"/>
      <c r="C28" s="221"/>
      <c r="D28" s="217" t="s">
        <v>1078</v>
      </c>
      <c r="E28" s="221"/>
      <c r="F28" s="1759" t="s">
        <v>1079</v>
      </c>
      <c r="G28" s="1759"/>
      <c r="H28" s="1803"/>
    </row>
  </sheetData>
  <customSheetViews>
    <customSheetView guid="{CA0FB9E2-E541-4C74-BCFE-D75491869B36}" showPageBreaks="1" printArea="1" view="pageBreakPreview">
      <selection activeCell="F29" sqref="F29"/>
      <pageMargins left="0.70866141732283472" right="0.70866141732283472" top="0.74803149606299213" bottom="0.74803149606299213" header="0.31496062992125984" footer="0.31496062992125984"/>
      <pageSetup paperSize="9" scale="80" orientation="portrait" r:id="rId1"/>
    </customSheetView>
    <customSheetView guid="{F10E3D8B-5892-420A-B023-68C6496D556B}" printArea="1">
      <selection activeCell="A4" sqref="A4:IV6"/>
      <pageMargins left="0.70866141732283472" right="0.70866141732283472" top="0.74803149606299213" bottom="0.74803149606299213" header="0.31496062992125984" footer="0.31496062992125984"/>
      <pageSetup paperSize="9" scale="80" orientation="portrait" r:id="rId2"/>
    </customSheetView>
    <customSheetView guid="{FE7E58EF-FECC-4DF6-BB75-BA97138CB219}" printArea="1">
      <selection activeCell="A4" sqref="A4:IV6"/>
      <pageMargins left="0.70866141732283472" right="0.70866141732283472" top="0.74803149606299213" bottom="0.74803149606299213" header="0.31496062992125984" footer="0.31496062992125984"/>
      <pageSetup paperSize="9" scale="80" orientation="portrait" r:id="rId3"/>
    </customSheetView>
    <customSheetView guid="{43136B00-66C6-4289-99D3-5EF20611F834}" showPageBreaks="1" printArea="1" view="pageBreakPreview">
      <selection activeCell="I33" sqref="I33"/>
      <pageMargins left="0.70866141732283472" right="0.70866141732283472" top="0.74803149606299213" bottom="0.74803149606299213" header="0.31496062992125984" footer="0.31496062992125984"/>
      <pageSetup paperSize="9" scale="80" orientation="portrait" r:id="rId4"/>
    </customSheetView>
    <customSheetView guid="{22820B9F-10DE-4629-AF3D-4AF98A9BCEDB}" showPageBreaks="1" printArea="1" view="pageBreakPreview">
      <selection activeCell="A22" sqref="A22:IV25"/>
      <pageMargins left="0.70866141732283472" right="0.70866141732283472" top="0.74803149606299213" bottom="0.74803149606299213" header="0.31496062992125984" footer="0.31496062992125984"/>
      <pageSetup paperSize="9" scale="80" orientation="portrait" r:id="rId5"/>
    </customSheetView>
  </customSheetViews>
  <mergeCells count="6">
    <mergeCell ref="F28:H28"/>
    <mergeCell ref="A2:G2"/>
    <mergeCell ref="A10:G10"/>
    <mergeCell ref="B22:F22"/>
    <mergeCell ref="F26:H26"/>
    <mergeCell ref="A4:G4"/>
  </mergeCells>
  <phoneticPr fontId="116" type="noConversion"/>
  <pageMargins left="0.70866141732283472" right="0.70866141732283472" top="0.74803149606299213" bottom="0.74803149606299213" header="0.31496062992125984" footer="0.31496062992125984"/>
  <pageSetup paperSize="9" scale="72" orientation="portrait" r:id="rId6"/>
</worksheet>
</file>

<file path=xl/worksheets/sheet25.xml><?xml version="1.0" encoding="utf-8"?>
<worksheet xmlns="http://schemas.openxmlformats.org/spreadsheetml/2006/main" xmlns:r="http://schemas.openxmlformats.org/officeDocument/2006/relationships">
  <sheetPr codeName="Лист8">
    <tabColor theme="0" tint="-0.499984740745262"/>
  </sheetPr>
  <dimension ref="A1:H22"/>
  <sheetViews>
    <sheetView view="pageBreakPreview" zoomScale="118" zoomScaleNormal="100" zoomScaleSheetLayoutView="118" workbookViewId="0">
      <selection activeCell="J23" sqref="J23"/>
    </sheetView>
  </sheetViews>
  <sheetFormatPr defaultRowHeight="15"/>
  <cols>
    <col min="1" max="1" width="5.28515625" style="28" customWidth="1"/>
    <col min="2" max="2" width="30.85546875" style="30" customWidth="1"/>
    <col min="3" max="3" width="8.7109375" style="28" customWidth="1"/>
    <col min="4" max="4" width="12.7109375" style="28" customWidth="1"/>
    <col min="5" max="5" width="14.140625" style="28" customWidth="1"/>
    <col min="6" max="6" width="28.140625" style="28" customWidth="1"/>
    <col min="7" max="16384" width="9.140625" style="30"/>
  </cols>
  <sheetData>
    <row r="1" spans="1:8" ht="15.75">
      <c r="A1" s="267"/>
      <c r="B1" s="288"/>
      <c r="C1" s="267"/>
      <c r="D1" s="267"/>
      <c r="E1" s="267"/>
      <c r="F1" s="209" t="s">
        <v>952</v>
      </c>
    </row>
    <row r="2" spans="1:8" ht="15.75">
      <c r="A2" s="267"/>
      <c r="B2" s="288"/>
      <c r="C2" s="267"/>
      <c r="D2" s="267"/>
      <c r="E2" s="267"/>
      <c r="F2" s="209"/>
    </row>
    <row r="3" spans="1:8" ht="15.75">
      <c r="A3" s="1809" t="s">
        <v>1377</v>
      </c>
      <c r="B3" s="1809"/>
      <c r="C3" s="1809"/>
      <c r="D3" s="1809"/>
      <c r="E3" s="1809"/>
      <c r="F3" s="1809"/>
    </row>
    <row r="4" spans="1:8" ht="15.75">
      <c r="A4" s="267"/>
      <c r="B4" s="267"/>
      <c r="C4" s="267"/>
      <c r="D4" s="267"/>
      <c r="E4" s="267"/>
      <c r="F4" s="267"/>
    </row>
    <row r="5" spans="1:8" s="74" customFormat="1" ht="47.25">
      <c r="A5" s="228" t="s">
        <v>1267</v>
      </c>
      <c r="B5" s="228" t="s">
        <v>212</v>
      </c>
      <c r="C5" s="228" t="s">
        <v>1257</v>
      </c>
      <c r="D5" s="228" t="s">
        <v>213</v>
      </c>
      <c r="E5" s="228" t="s">
        <v>214</v>
      </c>
      <c r="F5" s="228" t="s">
        <v>1390</v>
      </c>
    </row>
    <row r="6" spans="1:8" s="74" customFormat="1" ht="15.75">
      <c r="A6" s="228">
        <v>1</v>
      </c>
      <c r="B6" s="228">
        <v>2</v>
      </c>
      <c r="C6" s="228">
        <v>3</v>
      </c>
      <c r="D6" s="228">
        <v>4</v>
      </c>
      <c r="E6" s="228">
        <v>5</v>
      </c>
      <c r="F6" s="228">
        <v>6</v>
      </c>
    </row>
    <row r="7" spans="1:8" ht="15.75">
      <c r="A7" s="246">
        <v>1</v>
      </c>
      <c r="B7" s="243" t="s">
        <v>1802</v>
      </c>
      <c r="C7" s="229" t="s">
        <v>1296</v>
      </c>
      <c r="D7" s="229" t="s">
        <v>1296</v>
      </c>
      <c r="E7" s="229" t="s">
        <v>1296</v>
      </c>
      <c r="F7" s="229"/>
    </row>
    <row r="8" spans="1:8" ht="33.75" customHeight="1">
      <c r="A8" s="246">
        <v>2</v>
      </c>
      <c r="B8" s="243" t="s">
        <v>1096</v>
      </c>
      <c r="C8" s="229" t="s">
        <v>1296</v>
      </c>
      <c r="D8" s="229" t="s">
        <v>1296</v>
      </c>
      <c r="E8" s="229" t="s">
        <v>1296</v>
      </c>
      <c r="F8" s="229"/>
    </row>
    <row r="9" spans="1:8" ht="17.25" customHeight="1">
      <c r="A9" s="246">
        <v>3</v>
      </c>
      <c r="B9" s="243"/>
      <c r="C9" s="229"/>
      <c r="D9" s="229"/>
      <c r="E9" s="229"/>
      <c r="F9" s="229"/>
    </row>
    <row r="10" spans="1:8" ht="17.25" customHeight="1">
      <c r="A10" s="246">
        <v>4</v>
      </c>
      <c r="B10" s="243"/>
      <c r="C10" s="229"/>
      <c r="D10" s="229"/>
      <c r="E10" s="229"/>
      <c r="F10" s="229"/>
    </row>
    <row r="11" spans="1:8" ht="15.75">
      <c r="A11" s="246">
        <v>5</v>
      </c>
      <c r="B11" s="305"/>
      <c r="C11" s="246"/>
      <c r="D11" s="246"/>
      <c r="E11" s="247"/>
      <c r="F11" s="247"/>
    </row>
    <row r="12" spans="1:8" s="72" customFormat="1" ht="15.75">
      <c r="A12" s="1810" t="s">
        <v>183</v>
      </c>
      <c r="B12" s="1810"/>
      <c r="C12" s="1810"/>
      <c r="D12" s="1810"/>
      <c r="E12" s="1810"/>
      <c r="F12" s="248"/>
    </row>
    <row r="13" spans="1:8" s="72" customFormat="1" ht="15.75">
      <c r="A13" s="515"/>
      <c r="B13" s="515"/>
      <c r="C13" s="515"/>
      <c r="D13" s="515"/>
      <c r="E13" s="515"/>
      <c r="F13" s="516"/>
    </row>
    <row r="14" spans="1:8" s="207" customFormat="1" ht="15.75">
      <c r="B14" s="234" t="s">
        <v>1077</v>
      </c>
      <c r="C14" s="221"/>
      <c r="D14" s="507"/>
      <c r="E14" s="221"/>
      <c r="F14" s="507"/>
      <c r="G14" s="510"/>
      <c r="H14" s="510"/>
    </row>
    <row r="15" spans="1:8" s="207" customFormat="1" ht="15.75">
      <c r="B15" s="221"/>
      <c r="C15" s="221"/>
      <c r="D15" s="217" t="s">
        <v>1078</v>
      </c>
      <c r="E15" s="221"/>
      <c r="F15" s="511" t="s">
        <v>1079</v>
      </c>
      <c r="G15" s="511"/>
      <c r="H15" s="511"/>
    </row>
    <row r="16" spans="1:8" s="207" customFormat="1" ht="15.75">
      <c r="B16" s="505" t="s">
        <v>1076</v>
      </c>
      <c r="C16" s="221"/>
      <c r="D16" s="507"/>
      <c r="E16" s="221"/>
      <c r="F16" s="221"/>
      <c r="G16" s="217"/>
      <c r="H16" s="510"/>
    </row>
    <row r="17" spans="2:8" s="207" customFormat="1" ht="15.75">
      <c r="B17" s="221"/>
      <c r="C17" s="221"/>
      <c r="D17" s="217" t="s">
        <v>1078</v>
      </c>
      <c r="E17" s="221"/>
      <c r="F17" s="511" t="s">
        <v>1079</v>
      </c>
      <c r="G17" s="511"/>
      <c r="H17" s="511"/>
    </row>
    <row r="20" spans="2:8" s="27" customFormat="1">
      <c r="C20" s="73"/>
      <c r="D20" s="73"/>
    </row>
    <row r="21" spans="2:8" s="27" customFormat="1">
      <c r="C21" s="73"/>
      <c r="D21" s="73"/>
    </row>
    <row r="22" spans="2:8" s="27" customFormat="1">
      <c r="C22" s="73"/>
      <c r="D22" s="73"/>
    </row>
  </sheetData>
  <customSheetViews>
    <customSheetView guid="{CA0FB9E2-E541-4C74-BCFE-D75491869B36}" scale="118" showPageBreaks="1" printArea="1" view="pageBreakPreview">
      <selection activeCell="B8" sqref="B8"/>
      <pageMargins left="0.98425196850393704" right="0" top="0.59055118110236227" bottom="0.39370078740157483" header="0.51181102362204722" footer="0.51181102362204722"/>
      <pageSetup paperSize="9" scale="83" orientation="portrait" r:id="rId1"/>
      <headerFooter alignWithMargins="0"/>
    </customSheetView>
    <customSheetView guid="{F10E3D8B-5892-420A-B023-68C6496D556B}">
      <selection activeCell="G7" sqref="G7"/>
      <pageMargins left="1.1811023622047245" right="0" top="0.59055118110236227" bottom="0.39370078740157483" header="0.51181102362204722" footer="0.51181102362204722"/>
      <pageSetup paperSize="9" orientation="portrait" r:id="rId2"/>
      <headerFooter alignWithMargins="0"/>
    </customSheetView>
    <customSheetView guid="{FE7E58EF-FECC-4DF6-BB75-BA97138CB219}">
      <selection activeCell="G7" sqref="G7"/>
      <pageMargins left="1.1811023622047245" right="0" top="0.59055118110236227" bottom="0.39370078740157483" header="0.51181102362204722" footer="0.51181102362204722"/>
      <pageSetup paperSize="9" orientation="portrait" r:id="rId3"/>
      <headerFooter alignWithMargins="0"/>
    </customSheetView>
    <customSheetView guid="{43136B00-66C6-4289-99D3-5EF20611F834}" scale="118" showPageBreaks="1" view="pageBreakPreview">
      <selection activeCell="F25" sqref="F25"/>
      <pageMargins left="1.1811023622047245" right="0" top="0.59055118110236227" bottom="0.39370078740157483" header="0.51181102362204722" footer="0.51181102362204722"/>
      <pageSetup paperSize="9" scale="87" orientation="portrait" r:id="rId4"/>
      <headerFooter alignWithMargins="0"/>
    </customSheetView>
    <customSheetView guid="{22820B9F-10DE-4629-AF3D-4AF98A9BCEDB}" scale="118" showPageBreaks="1" printArea="1" view="pageBreakPreview">
      <selection activeCell="A13" sqref="A13:IV13"/>
      <pageMargins left="0.98425196850393704" right="0" top="0.59055118110236227" bottom="0.39370078740157483" header="0.51181102362204722" footer="0.51181102362204722"/>
      <pageSetup paperSize="9" scale="83" orientation="portrait" r:id="rId5"/>
      <headerFooter alignWithMargins="0"/>
    </customSheetView>
  </customSheetViews>
  <mergeCells count="2">
    <mergeCell ref="A3:F3"/>
    <mergeCell ref="A12:E12"/>
  </mergeCells>
  <phoneticPr fontId="116" type="noConversion"/>
  <pageMargins left="0.98425196850393704" right="0" top="0.59055118110236227" bottom="0.39370078740157483" header="0.51181102362204722" footer="0.51181102362204722"/>
  <pageSetup paperSize="9" scale="83" orientation="portrait" r:id="rId6"/>
  <headerFooter alignWithMargins="0"/>
</worksheet>
</file>

<file path=xl/worksheets/sheet26.xml><?xml version="1.0" encoding="utf-8"?>
<worksheet xmlns="http://schemas.openxmlformats.org/spreadsheetml/2006/main" xmlns:r="http://schemas.openxmlformats.org/officeDocument/2006/relationships">
  <sheetPr>
    <tabColor rgb="FF3366FF"/>
  </sheetPr>
  <dimension ref="A1:J18"/>
  <sheetViews>
    <sheetView view="pageBreakPreview" zoomScaleNormal="100" zoomScaleSheetLayoutView="100" workbookViewId="0">
      <selection activeCell="G14" sqref="G14"/>
    </sheetView>
  </sheetViews>
  <sheetFormatPr defaultRowHeight="15"/>
  <cols>
    <col min="1" max="1" width="5.28515625" style="1" customWidth="1"/>
    <col min="2" max="2" width="37.7109375" style="1" customWidth="1"/>
    <col min="3" max="3" width="7.42578125" style="1" customWidth="1"/>
    <col min="4" max="4" width="14" style="1" customWidth="1"/>
    <col min="5" max="5" width="16.42578125" style="1" customWidth="1"/>
    <col min="6" max="6" width="10.140625" style="1" customWidth="1"/>
    <col min="7" max="7" width="16" style="1" customWidth="1"/>
    <col min="8" max="8" width="12.140625" style="1" customWidth="1"/>
    <col min="9" max="9" width="13.140625" style="1" customWidth="1"/>
    <col min="10" max="10" width="11.42578125" style="1" customWidth="1"/>
    <col min="11" max="16384" width="9.140625" style="1"/>
  </cols>
  <sheetData>
    <row r="1" spans="1:10" ht="15.75">
      <c r="A1" s="235"/>
      <c r="B1" s="235"/>
      <c r="C1" s="235"/>
      <c r="D1" s="235"/>
      <c r="E1" s="235"/>
      <c r="F1" s="234"/>
      <c r="G1" s="209" t="s">
        <v>953</v>
      </c>
    </row>
    <row r="2" spans="1:10" ht="15.75">
      <c r="A2" s="235"/>
      <c r="B2" s="235"/>
      <c r="C2" s="235"/>
      <c r="D2" s="235"/>
      <c r="E2" s="235"/>
      <c r="F2" s="234"/>
      <c r="G2" s="209"/>
    </row>
    <row r="3" spans="1:10" ht="15" customHeight="1">
      <c r="A3" s="1804" t="s">
        <v>1380</v>
      </c>
      <c r="B3" s="1804"/>
      <c r="C3" s="1804"/>
      <c r="D3" s="1804"/>
      <c r="E3" s="1804"/>
      <c r="F3" s="1804"/>
      <c r="G3" s="1804"/>
    </row>
    <row r="4" spans="1:10" ht="15.75">
      <c r="A4" s="249"/>
      <c r="B4" s="249"/>
      <c r="C4" s="249"/>
      <c r="D4" s="249"/>
      <c r="E4" s="249"/>
      <c r="F4" s="234"/>
      <c r="G4" s="234"/>
    </row>
    <row r="5" spans="1:10" ht="47.25">
      <c r="A5" s="334" t="s">
        <v>1255</v>
      </c>
      <c r="B5" s="334" t="s">
        <v>1300</v>
      </c>
      <c r="C5" s="334" t="s">
        <v>1305</v>
      </c>
      <c r="D5" s="334" t="s">
        <v>1301</v>
      </c>
      <c r="E5" s="334" t="s">
        <v>1302</v>
      </c>
      <c r="F5" s="334" t="s">
        <v>1303</v>
      </c>
      <c r="G5" s="334" t="s">
        <v>1304</v>
      </c>
    </row>
    <row r="6" spans="1:10" ht="15.75" customHeight="1">
      <c r="A6" s="229">
        <v>1</v>
      </c>
      <c r="B6" s="229">
        <v>2</v>
      </c>
      <c r="C6" s="229">
        <v>3</v>
      </c>
      <c r="D6" s="229">
        <v>4</v>
      </c>
      <c r="E6" s="229">
        <v>5</v>
      </c>
      <c r="F6" s="230">
        <v>6</v>
      </c>
      <c r="G6" s="230">
        <v>7</v>
      </c>
    </row>
    <row r="7" spans="1:10" ht="15.75" customHeight="1">
      <c r="A7" s="230">
        <v>1</v>
      </c>
      <c r="B7" s="243" t="s">
        <v>1802</v>
      </c>
      <c r="C7" s="229" t="s">
        <v>1296</v>
      </c>
      <c r="D7" s="229" t="s">
        <v>1296</v>
      </c>
      <c r="E7" s="229" t="s">
        <v>1296</v>
      </c>
      <c r="F7" s="229" t="s">
        <v>1296</v>
      </c>
      <c r="G7" s="232"/>
      <c r="H7" s="38"/>
    </row>
    <row r="8" spans="1:10" ht="31.5">
      <c r="A8" s="230">
        <v>2</v>
      </c>
      <c r="B8" s="243" t="s">
        <v>1096</v>
      </c>
      <c r="C8" s="229" t="s">
        <v>1296</v>
      </c>
      <c r="D8" s="229" t="s">
        <v>1296</v>
      </c>
      <c r="E8" s="229" t="s">
        <v>1296</v>
      </c>
      <c r="F8" s="229" t="s">
        <v>1296</v>
      </c>
      <c r="G8" s="232"/>
    </row>
    <row r="9" spans="1:10" ht="33.75" customHeight="1">
      <c r="A9" s="230">
        <v>3</v>
      </c>
      <c r="B9" s="1091" t="s">
        <v>463</v>
      </c>
      <c r="C9" s="357" t="s">
        <v>464</v>
      </c>
      <c r="D9" s="1119">
        <f ca="1">'223'!B47</f>
        <v>68.531644400000005</v>
      </c>
      <c r="E9" s="1092">
        <f ca="1">ROUND('223'!D47/D9,2)</f>
        <v>6816.53</v>
      </c>
      <c r="F9" s="357">
        <v>4.0999999999999996</v>
      </c>
      <c r="G9" s="432">
        <f>ROUND((D9*E9)*1.041,2)</f>
        <v>486301.08</v>
      </c>
      <c r="J9" s="1">
        <v>486303.93</v>
      </c>
    </row>
    <row r="10" spans="1:10" ht="17.25" customHeight="1">
      <c r="A10" s="230">
        <v>4</v>
      </c>
      <c r="B10" s="1091" t="s">
        <v>465</v>
      </c>
      <c r="C10" s="114" t="s">
        <v>466</v>
      </c>
      <c r="D10" s="1093">
        <f ca="1">'223'!I47</f>
        <v>581.26</v>
      </c>
      <c r="E10" s="1092">
        <f ca="1">ROUND('223'!K47/D10,2)</f>
        <v>5206.5200000000004</v>
      </c>
      <c r="F10" s="114"/>
      <c r="G10" s="432">
        <f>ROUND((D10*E10)*1,2)</f>
        <v>3026341.82</v>
      </c>
      <c r="J10" s="1">
        <v>2915779.39</v>
      </c>
    </row>
    <row r="11" spans="1:10" ht="17.25" customHeight="1">
      <c r="A11" s="230">
        <v>5</v>
      </c>
      <c r="B11" s="1091" t="s">
        <v>467</v>
      </c>
      <c r="C11" s="114" t="s">
        <v>468</v>
      </c>
      <c r="D11" s="1118">
        <f ca="1">'223'!P47</f>
        <v>519</v>
      </c>
      <c r="E11" s="1092">
        <f ca="1">ROUND('223'!R47/D11,2)</f>
        <v>126.24</v>
      </c>
      <c r="F11" s="114">
        <v>4.0999999999999996</v>
      </c>
      <c r="G11" s="432">
        <f>ROUND((D11*E11)*1.041,2)</f>
        <v>68204.820000000007</v>
      </c>
      <c r="J11" s="1">
        <v>66621.8</v>
      </c>
    </row>
    <row r="12" spans="1:10" ht="17.25" customHeight="1">
      <c r="A12" s="230">
        <v>6</v>
      </c>
      <c r="B12" s="1091" t="s">
        <v>469</v>
      </c>
      <c r="C12" s="114" t="s">
        <v>468</v>
      </c>
      <c r="D12" s="1118">
        <f ca="1">'223'!V47</f>
        <v>363</v>
      </c>
      <c r="E12" s="1092">
        <f ca="1">ROUND('223'!X47/D12,2)</f>
        <v>296.77</v>
      </c>
      <c r="F12" s="114">
        <v>4.0999999999999996</v>
      </c>
      <c r="G12" s="432">
        <f>ROUND((D12*E12)*1.041,2)</f>
        <v>112144.34</v>
      </c>
      <c r="J12" s="1">
        <v>112144.34</v>
      </c>
    </row>
    <row r="13" spans="1:10" ht="15.75">
      <c r="A13" s="1084"/>
      <c r="B13" s="1805" t="s">
        <v>183</v>
      </c>
      <c r="C13" s="1806"/>
      <c r="D13" s="1806"/>
      <c r="E13" s="1806"/>
      <c r="F13" s="1807"/>
      <c r="G13" s="354">
        <f>SUM(G9:G12)-G7</f>
        <v>3692992.0599999996</v>
      </c>
      <c r="H13" s="106">
        <f ca="1">'223'!Z47</f>
        <v>3666734.944169932</v>
      </c>
      <c r="I13" s="106">
        <f>H13*1.041</f>
        <v>3817071.0768808988</v>
      </c>
      <c r="J13" s="1">
        <f>SUM(J9:J12)</f>
        <v>3580849.46</v>
      </c>
    </row>
    <row r="14" spans="1:10" ht="24.75" customHeight="1"/>
    <row r="15" spans="1:10" s="207" customFormat="1" ht="15.75">
      <c r="B15" s="234" t="s">
        <v>1077</v>
      </c>
      <c r="C15" s="221"/>
      <c r="D15" s="507"/>
      <c r="E15" s="221"/>
      <c r="F15" s="1811" t="s">
        <v>471</v>
      </c>
      <c r="G15" s="1811"/>
      <c r="H15" s="510"/>
    </row>
    <row r="16" spans="1:10" s="207" customFormat="1" ht="17.25" customHeight="1">
      <c r="B16" s="221"/>
      <c r="C16" s="221"/>
      <c r="D16" s="217" t="s">
        <v>1078</v>
      </c>
      <c r="E16" s="221"/>
      <c r="F16" s="1803" t="s">
        <v>1079</v>
      </c>
      <c r="G16" s="1803"/>
      <c r="H16" s="511"/>
    </row>
    <row r="17" spans="2:8" s="207" customFormat="1" ht="15.75">
      <c r="B17" s="505" t="s">
        <v>1076</v>
      </c>
      <c r="C17" s="221"/>
      <c r="D17" s="507"/>
      <c r="E17" s="221"/>
      <c r="F17" s="1811" t="s">
        <v>470</v>
      </c>
      <c r="G17" s="1811"/>
      <c r="H17" s="510"/>
    </row>
    <row r="18" spans="2:8" s="207" customFormat="1" ht="21" customHeight="1">
      <c r="B18" s="221"/>
      <c r="C18" s="221"/>
      <c r="D18" s="217" t="s">
        <v>1078</v>
      </c>
      <c r="E18" s="221"/>
      <c r="F18" s="1803" t="s">
        <v>1079</v>
      </c>
      <c r="G18" s="1803"/>
      <c r="H18" s="511"/>
    </row>
  </sheetData>
  <mergeCells count="6">
    <mergeCell ref="F18:G18"/>
    <mergeCell ref="A3:G3"/>
    <mergeCell ref="B13:F13"/>
    <mergeCell ref="F15:G15"/>
    <mergeCell ref="F16:G16"/>
    <mergeCell ref="F17:G17"/>
  </mergeCells>
  <phoneticPr fontId="116" type="noConversion"/>
  <pageMargins left="0.70866141732283472" right="0.70866141732283472" top="0.74803149606299213" bottom="0.74803149606299213" header="0.31496062992125984" footer="0.31496062992125984"/>
  <pageSetup paperSize="9" scale="76" orientation="portrait" r:id="rId1"/>
</worksheet>
</file>

<file path=xl/worksheets/sheet27.xml><?xml version="1.0" encoding="utf-8"?>
<worksheet xmlns="http://schemas.openxmlformats.org/spreadsheetml/2006/main" xmlns:r="http://schemas.openxmlformats.org/officeDocument/2006/relationships">
  <sheetPr codeName="Лист10">
    <tabColor rgb="FF3366FF"/>
  </sheetPr>
  <dimension ref="A1:Z74"/>
  <sheetViews>
    <sheetView view="pageBreakPreview" topLeftCell="I1" zoomScale="93" zoomScaleNormal="100" zoomScaleSheetLayoutView="93" workbookViewId="0">
      <selection activeCell="V23" sqref="V23"/>
    </sheetView>
  </sheetViews>
  <sheetFormatPr defaultRowHeight="15"/>
  <cols>
    <col min="1" max="1" width="13.85546875" style="784" customWidth="1"/>
    <col min="2" max="2" width="7.85546875" style="784" customWidth="1"/>
    <col min="3" max="3" width="8.140625" style="784" customWidth="1"/>
    <col min="4" max="4" width="9.7109375" style="784" customWidth="1"/>
    <col min="5" max="5" width="8.42578125" style="784" customWidth="1"/>
    <col min="6" max="6" width="7.85546875" style="784" customWidth="1"/>
    <col min="7" max="7" width="7.5703125" style="784" customWidth="1"/>
    <col min="8" max="8" width="11.7109375" style="784" customWidth="1"/>
    <col min="9" max="9" width="8.5703125" style="784" customWidth="1"/>
    <col min="10" max="10" width="8.7109375" style="784" customWidth="1"/>
    <col min="11" max="11" width="12.28515625" style="784" customWidth="1"/>
    <col min="12" max="12" width="9.5703125" style="784" customWidth="1"/>
    <col min="13" max="13" width="8.140625" style="784" customWidth="1"/>
    <col min="14" max="14" width="8.28515625" style="784" customWidth="1"/>
    <col min="15" max="15" width="12.85546875" style="784" customWidth="1"/>
    <col min="16" max="16" width="9" style="784" customWidth="1"/>
    <col min="17" max="17" width="7.7109375" style="784" customWidth="1"/>
    <col min="18" max="18" width="10.7109375" style="784" customWidth="1"/>
    <col min="19" max="19" width="8.42578125" style="784" customWidth="1"/>
    <col min="20" max="20" width="7.42578125" style="784" customWidth="1"/>
    <col min="21" max="21" width="10.140625" style="784" customWidth="1"/>
    <col min="22" max="22" width="8" style="784" customWidth="1"/>
    <col min="23" max="23" width="8.28515625" style="784" customWidth="1"/>
    <col min="24" max="24" width="10.5703125" style="784" customWidth="1"/>
    <col min="25" max="25" width="11.140625" style="784" customWidth="1"/>
    <col min="26" max="26" width="14" style="784" customWidth="1"/>
    <col min="27" max="16384" width="9.140625" style="784"/>
  </cols>
  <sheetData>
    <row r="1" spans="1:26" ht="44.25" customHeight="1">
      <c r="A1" s="669"/>
      <c r="B1" s="669"/>
      <c r="C1" s="669"/>
      <c r="D1" s="669"/>
      <c r="E1" s="669"/>
      <c r="F1" s="669"/>
      <c r="G1" s="669"/>
      <c r="H1" s="669"/>
      <c r="I1" s="669"/>
      <c r="J1" s="669"/>
      <c r="K1" s="669"/>
      <c r="L1" s="669"/>
      <c r="M1" s="669"/>
      <c r="N1" s="669"/>
      <c r="O1" s="669"/>
      <c r="P1" s="669"/>
      <c r="Q1" s="669"/>
      <c r="R1" s="669"/>
      <c r="S1" s="669"/>
      <c r="T1" s="669"/>
      <c r="U1" s="669"/>
      <c r="V1" s="669"/>
      <c r="W1" s="669"/>
      <c r="X1" s="669"/>
      <c r="Y1" s="669"/>
      <c r="Z1" s="785" t="s">
        <v>954</v>
      </c>
    </row>
    <row r="2" spans="1:26" ht="33" customHeight="1">
      <c r="A2" s="1695" t="s">
        <v>1820</v>
      </c>
      <c r="B2" s="1695"/>
      <c r="C2" s="1695"/>
      <c r="D2" s="1695"/>
      <c r="E2" s="1695"/>
      <c r="F2" s="1695"/>
      <c r="G2" s="1695"/>
      <c r="H2" s="1695"/>
      <c r="I2" s="1695"/>
      <c r="J2" s="1695"/>
      <c r="K2" s="1695"/>
      <c r="L2" s="1695"/>
      <c r="M2" s="1695"/>
      <c r="N2" s="1695"/>
      <c r="O2" s="1695"/>
      <c r="P2" s="1695"/>
      <c r="Q2" s="1695"/>
      <c r="R2" s="1695"/>
      <c r="S2" s="1695"/>
      <c r="T2" s="1695"/>
      <c r="U2" s="1695"/>
      <c r="V2" s="1695"/>
      <c r="W2" s="1695"/>
      <c r="X2" s="1695"/>
      <c r="Y2" s="1695"/>
      <c r="Z2" s="1695"/>
    </row>
    <row r="3" spans="1:26" ht="19.5" customHeight="1">
      <c r="A3" s="1839"/>
      <c r="B3" s="1839"/>
      <c r="C3" s="1839"/>
      <c r="D3" s="1839"/>
      <c r="E3" s="1839"/>
      <c r="F3" s="1839"/>
      <c r="G3" s="1839"/>
      <c r="H3" s="1839"/>
      <c r="I3" s="1839"/>
      <c r="J3" s="1839"/>
      <c r="K3" s="1839"/>
      <c r="L3" s="1839"/>
      <c r="M3" s="1839"/>
      <c r="N3" s="1839"/>
      <c r="O3" s="1839"/>
      <c r="P3" s="1839"/>
      <c r="Q3" s="1839"/>
      <c r="R3" s="1839"/>
      <c r="S3" s="1839"/>
      <c r="T3" s="1839"/>
      <c r="U3" s="1839"/>
      <c r="V3" s="1839"/>
      <c r="W3" s="1839"/>
      <c r="X3" s="1839"/>
      <c r="Y3" s="812"/>
      <c r="Z3" s="812"/>
    </row>
    <row r="4" spans="1:26" ht="30" customHeight="1">
      <c r="A4" s="1840" t="s">
        <v>461</v>
      </c>
      <c r="B4" s="1840"/>
      <c r="C4" s="1840"/>
      <c r="D4" s="1840"/>
      <c r="E4" s="1840"/>
      <c r="F4" s="1840"/>
      <c r="G4" s="1840"/>
      <c r="H4" s="1840"/>
      <c r="I4" s="1840"/>
      <c r="J4" s="1840"/>
      <c r="K4" s="1840"/>
      <c r="L4" s="1840"/>
      <c r="M4" s="1840"/>
      <c r="N4" s="1840"/>
      <c r="O4" s="1840"/>
      <c r="P4" s="1840"/>
      <c r="Q4" s="1840"/>
      <c r="R4" s="1840"/>
      <c r="S4" s="1840"/>
      <c r="T4" s="1840"/>
      <c r="U4" s="1840"/>
      <c r="V4" s="1840"/>
      <c r="W4" s="1840"/>
      <c r="X4" s="1840"/>
      <c r="Y4" s="1840"/>
      <c r="Z4" s="1840"/>
    </row>
    <row r="5" spans="1:26" ht="18.75" customHeight="1">
      <c r="A5" s="1838" t="s">
        <v>1689</v>
      </c>
      <c r="B5" s="1838" t="s">
        <v>1690</v>
      </c>
      <c r="C5" s="1838"/>
      <c r="D5" s="1838"/>
      <c r="E5" s="1838"/>
      <c r="F5" s="1838"/>
      <c r="G5" s="1838"/>
      <c r="H5" s="1838" t="s">
        <v>1918</v>
      </c>
      <c r="I5" s="1838" t="s">
        <v>1691</v>
      </c>
      <c r="J5" s="1838"/>
      <c r="K5" s="1838"/>
      <c r="L5" s="1838"/>
      <c r="M5" s="1838"/>
      <c r="N5" s="1838"/>
      <c r="O5" s="1838" t="s">
        <v>1692</v>
      </c>
      <c r="P5" s="1838" t="s">
        <v>1693</v>
      </c>
      <c r="Q5" s="1838"/>
      <c r="R5" s="1838"/>
      <c r="S5" s="1838" t="s">
        <v>1694</v>
      </c>
      <c r="T5" s="1838"/>
      <c r="U5" s="1838"/>
      <c r="V5" s="1838"/>
      <c r="W5" s="1838"/>
      <c r="X5" s="1838"/>
      <c r="Y5" s="1838" t="s">
        <v>1695</v>
      </c>
      <c r="Z5" s="1838" t="s">
        <v>1565</v>
      </c>
    </row>
    <row r="6" spans="1:26" ht="36" customHeight="1">
      <c r="A6" s="1838"/>
      <c r="B6" s="1838" t="s">
        <v>1696</v>
      </c>
      <c r="C6" s="1838"/>
      <c r="D6" s="1838"/>
      <c r="E6" s="1838" t="s">
        <v>1697</v>
      </c>
      <c r="F6" s="1838"/>
      <c r="G6" s="1838"/>
      <c r="H6" s="1838"/>
      <c r="I6" s="1836" t="s">
        <v>1691</v>
      </c>
      <c r="J6" s="1836"/>
      <c r="K6" s="1836"/>
      <c r="L6" s="1836" t="s">
        <v>1698</v>
      </c>
      <c r="M6" s="1836"/>
      <c r="N6" s="1836"/>
      <c r="O6" s="1838"/>
      <c r="P6" s="1838"/>
      <c r="Q6" s="1838"/>
      <c r="R6" s="1838"/>
      <c r="S6" s="1836" t="s">
        <v>1699</v>
      </c>
      <c r="T6" s="1836"/>
      <c r="U6" s="1836"/>
      <c r="V6" s="1836" t="s">
        <v>1700</v>
      </c>
      <c r="W6" s="1836"/>
      <c r="X6" s="1836"/>
      <c r="Y6" s="1838"/>
      <c r="Z6" s="1838"/>
    </row>
    <row r="7" spans="1:26" ht="47.25">
      <c r="A7" s="1838"/>
      <c r="B7" s="462" t="s">
        <v>1701</v>
      </c>
      <c r="C7" s="462" t="s">
        <v>1702</v>
      </c>
      <c r="D7" s="462" t="s">
        <v>90</v>
      </c>
      <c r="E7" s="462" t="s">
        <v>1701</v>
      </c>
      <c r="F7" s="462" t="s">
        <v>1703</v>
      </c>
      <c r="G7" s="462" t="s">
        <v>90</v>
      </c>
      <c r="H7" s="1838"/>
      <c r="I7" s="462" t="s">
        <v>1704</v>
      </c>
      <c r="J7" s="462" t="s">
        <v>1703</v>
      </c>
      <c r="K7" s="462" t="s">
        <v>90</v>
      </c>
      <c r="L7" s="462" t="s">
        <v>1705</v>
      </c>
      <c r="M7" s="462" t="s">
        <v>1703</v>
      </c>
      <c r="N7" s="462" t="s">
        <v>90</v>
      </c>
      <c r="O7" s="1838"/>
      <c r="P7" s="462" t="s">
        <v>1705</v>
      </c>
      <c r="Q7" s="462" t="s">
        <v>1703</v>
      </c>
      <c r="R7" s="462" t="s">
        <v>90</v>
      </c>
      <c r="S7" s="462" t="s">
        <v>1705</v>
      </c>
      <c r="T7" s="462" t="s">
        <v>1703</v>
      </c>
      <c r="U7" s="462" t="s">
        <v>90</v>
      </c>
      <c r="V7" s="462" t="s">
        <v>1705</v>
      </c>
      <c r="W7" s="462" t="s">
        <v>1703</v>
      </c>
      <c r="X7" s="462" t="s">
        <v>90</v>
      </c>
      <c r="Y7" s="1838"/>
      <c r="Z7" s="1838"/>
    </row>
    <row r="8" spans="1:26" s="1094" customFormat="1" ht="15.75">
      <c r="A8" s="1106">
        <v>1</v>
      </c>
      <c r="B8" s="1106">
        <v>2</v>
      </c>
      <c r="C8" s="1106">
        <v>3</v>
      </c>
      <c r="D8" s="1106">
        <v>4</v>
      </c>
      <c r="E8" s="1106">
        <v>5</v>
      </c>
      <c r="F8" s="1106">
        <v>6</v>
      </c>
      <c r="G8" s="1106">
        <v>7</v>
      </c>
      <c r="H8" s="1106">
        <v>8</v>
      </c>
      <c r="I8" s="1106">
        <v>9</v>
      </c>
      <c r="J8" s="1106">
        <v>10</v>
      </c>
      <c r="K8" s="1106">
        <v>11</v>
      </c>
      <c r="L8" s="1106">
        <v>12</v>
      </c>
      <c r="M8" s="1106">
        <v>13</v>
      </c>
      <c r="N8" s="1106">
        <v>14</v>
      </c>
      <c r="O8" s="1106">
        <v>15</v>
      </c>
      <c r="P8" s="1106">
        <v>16</v>
      </c>
      <c r="Q8" s="1106">
        <v>17</v>
      </c>
      <c r="R8" s="1106">
        <v>18</v>
      </c>
      <c r="S8" s="1106">
        <v>19</v>
      </c>
      <c r="T8" s="1106">
        <v>20</v>
      </c>
      <c r="U8" s="1106">
        <v>21</v>
      </c>
      <c r="V8" s="1106">
        <v>22</v>
      </c>
      <c r="W8" s="1106">
        <v>23</v>
      </c>
      <c r="X8" s="1106">
        <v>24</v>
      </c>
      <c r="Y8" s="1106">
        <v>25</v>
      </c>
      <c r="Z8" s="1106">
        <v>26</v>
      </c>
    </row>
    <row r="9" spans="1:26" s="1112" customFormat="1" ht="15.75">
      <c r="A9" s="250" t="s">
        <v>1706</v>
      </c>
      <c r="B9" s="1107">
        <v>10.337</v>
      </c>
      <c r="C9" s="1108">
        <f>ROUND(D9/B9,2)</f>
        <v>6608.22</v>
      </c>
      <c r="D9" s="1108">
        <v>68309.210000000006</v>
      </c>
      <c r="E9" s="462"/>
      <c r="F9" s="462"/>
      <c r="G9" s="462">
        <f>E9*F9</f>
        <v>0</v>
      </c>
      <c r="H9" s="462">
        <f>D9+G9</f>
        <v>68309.210000000006</v>
      </c>
      <c r="I9" s="1109">
        <v>105.82</v>
      </c>
      <c r="J9" s="1110">
        <f>4178.51*1.18</f>
        <v>4930.6418000000003</v>
      </c>
      <c r="K9" s="1108">
        <f>I9*J9</f>
        <v>521760.51527600002</v>
      </c>
      <c r="L9" s="462"/>
      <c r="M9" s="251"/>
      <c r="N9" s="462">
        <f>L9*M9</f>
        <v>0</v>
      </c>
      <c r="O9" s="462">
        <f>K9+N9</f>
        <v>521760.51527600002</v>
      </c>
      <c r="P9" s="1109">
        <v>0</v>
      </c>
      <c r="Q9" s="1111">
        <f>102.61*1.18</f>
        <v>121.07979999999999</v>
      </c>
      <c r="R9" s="1108">
        <f>P9*Q9</f>
        <v>0</v>
      </c>
      <c r="S9" s="462"/>
      <c r="T9" s="462"/>
      <c r="U9" s="462">
        <f>S9*T9</f>
        <v>0</v>
      </c>
      <c r="V9" s="1109">
        <v>0</v>
      </c>
      <c r="W9" s="1111">
        <v>296.77</v>
      </c>
      <c r="X9" s="1108">
        <f>V9*W9</f>
        <v>0</v>
      </c>
      <c r="Y9" s="462">
        <f>R9+U9+X9</f>
        <v>0</v>
      </c>
      <c r="Z9" s="462">
        <f>H9+O9+Y9</f>
        <v>590069.72527599998</v>
      </c>
    </row>
    <row r="10" spans="1:26" s="1112" customFormat="1" ht="16.7" customHeight="1">
      <c r="A10" s="250" t="s">
        <v>1707</v>
      </c>
      <c r="B10" s="1107">
        <v>9.8789999999999996</v>
      </c>
      <c r="C10" s="1108">
        <f>ROUND(D10/B10,2)</f>
        <v>6704.4</v>
      </c>
      <c r="D10" s="1108">
        <v>66232.72</v>
      </c>
      <c r="E10" s="462"/>
      <c r="F10" s="462"/>
      <c r="G10" s="462">
        <f>E10*F10</f>
        <v>0</v>
      </c>
      <c r="H10" s="462">
        <f>D10+G10</f>
        <v>66232.72</v>
      </c>
      <c r="I10" s="1109">
        <v>95.1</v>
      </c>
      <c r="J10" s="1110">
        <f>4178.51*1.18</f>
        <v>4930.6418000000003</v>
      </c>
      <c r="K10" s="1108">
        <f>I10*J10</f>
        <v>468904.03518000001</v>
      </c>
      <c r="L10" s="811"/>
      <c r="M10" s="811"/>
      <c r="N10" s="462">
        <f>L10*M10</f>
        <v>0</v>
      </c>
      <c r="O10" s="462">
        <f>K10+N10</f>
        <v>468904.03518000001</v>
      </c>
      <c r="P10" s="1109">
        <v>68</v>
      </c>
      <c r="Q10" s="1111">
        <v>121.08</v>
      </c>
      <c r="R10" s="1108">
        <f>P10*Q10</f>
        <v>8233.44</v>
      </c>
      <c r="S10" s="462"/>
      <c r="T10" s="462"/>
      <c r="U10" s="462">
        <f>S10*T10</f>
        <v>0</v>
      </c>
      <c r="V10" s="1109">
        <v>54</v>
      </c>
      <c r="W10" s="1111">
        <v>296.77</v>
      </c>
      <c r="X10" s="1108">
        <f>V10*W10</f>
        <v>16025.579999999998</v>
      </c>
      <c r="Y10" s="462">
        <f>R10+U10+X10</f>
        <v>24259.019999999997</v>
      </c>
      <c r="Z10" s="462">
        <f>H10+O10+Y10</f>
        <v>559395.77518</v>
      </c>
    </row>
    <row r="11" spans="1:26" s="1112" customFormat="1" ht="15.75">
      <c r="A11" s="250" t="s">
        <v>1708</v>
      </c>
      <c r="B11" s="1107">
        <v>5.3040000000000003</v>
      </c>
      <c r="C11" s="1108">
        <f>ROUND(D11/B11,2)</f>
        <v>6282.42</v>
      </c>
      <c r="D11" s="1108">
        <v>33321.93</v>
      </c>
      <c r="E11" s="462"/>
      <c r="F11" s="462"/>
      <c r="G11" s="462">
        <f>E11*F11</f>
        <v>0</v>
      </c>
      <c r="H11" s="462">
        <f>D11+G11</f>
        <v>33321.93</v>
      </c>
      <c r="I11" s="1109">
        <v>78.349999999999994</v>
      </c>
      <c r="J11" s="1110">
        <f>4178.51*1.18</f>
        <v>4930.6418000000003</v>
      </c>
      <c r="K11" s="1108">
        <f>I11*J11</f>
        <v>386315.78502999997</v>
      </c>
      <c r="L11" s="811"/>
      <c r="M11" s="811"/>
      <c r="N11" s="462">
        <f>L11*M11</f>
        <v>0</v>
      </c>
      <c r="O11" s="462">
        <f>K11+N11</f>
        <v>386315.78502999997</v>
      </c>
      <c r="P11" s="1109">
        <v>79</v>
      </c>
      <c r="Q11" s="1111">
        <v>121.08</v>
      </c>
      <c r="R11" s="1108">
        <f>P11*Q11</f>
        <v>9565.32</v>
      </c>
      <c r="S11" s="462"/>
      <c r="T11" s="462"/>
      <c r="U11" s="462">
        <f>S11*T11</f>
        <v>0</v>
      </c>
      <c r="V11" s="1113">
        <v>54</v>
      </c>
      <c r="W11" s="1111">
        <v>296.77</v>
      </c>
      <c r="X11" s="1108">
        <f>V11*W11</f>
        <v>16025.579999999998</v>
      </c>
      <c r="Y11" s="462">
        <f>R11+U11+X11</f>
        <v>25590.899999999998</v>
      </c>
      <c r="Z11" s="462">
        <f>H11+O11+Y11</f>
        <v>445228.61502999999</v>
      </c>
    </row>
    <row r="12" spans="1:26" s="1115" customFormat="1" ht="33.75" customHeight="1">
      <c r="A12" s="1102" t="s">
        <v>206</v>
      </c>
      <c r="B12" s="1114">
        <f>B9+B10+B11</f>
        <v>25.520000000000003</v>
      </c>
      <c r="C12" s="1100"/>
      <c r="D12" s="1101">
        <f>D9+D10+D11</f>
        <v>167863.86</v>
      </c>
      <c r="E12" s="1101">
        <f>E9+E10+E11</f>
        <v>0</v>
      </c>
      <c r="F12" s="1101"/>
      <c r="G12" s="1101">
        <f>G9+G10+G11</f>
        <v>0</v>
      </c>
      <c r="H12" s="1101">
        <f>H9+H10+H11</f>
        <v>167863.86</v>
      </c>
      <c r="I12" s="1100">
        <f>I9+I10+I11</f>
        <v>279.27</v>
      </c>
      <c r="J12" s="1100"/>
      <c r="K12" s="1101">
        <f>K9+K10+K11</f>
        <v>1376980.3354859999</v>
      </c>
      <c r="L12" s="1101">
        <f>L9+L10+L11</f>
        <v>0</v>
      </c>
      <c r="M12" s="1101"/>
      <c r="N12" s="1101">
        <f>N9+N10+N11</f>
        <v>0</v>
      </c>
      <c r="O12" s="1101">
        <f>O9+O10+O11</f>
        <v>1376980.3354859999</v>
      </c>
      <c r="P12" s="1100">
        <f>P9+P10+P11</f>
        <v>147</v>
      </c>
      <c r="Q12" s="1101"/>
      <c r="R12" s="1101">
        <f>R9+R10+R11</f>
        <v>17798.760000000002</v>
      </c>
      <c r="S12" s="1101">
        <f>S9+S10+S11</f>
        <v>0</v>
      </c>
      <c r="T12" s="1101"/>
      <c r="U12" s="1101">
        <f>U9+U10+U11</f>
        <v>0</v>
      </c>
      <c r="V12" s="1100">
        <f>V9+V10+V11</f>
        <v>108</v>
      </c>
      <c r="W12" s="1101"/>
      <c r="X12" s="1101">
        <f>X9+X10+X11</f>
        <v>32051.159999999996</v>
      </c>
      <c r="Y12" s="1101">
        <f>Y9+Y10+Y11</f>
        <v>49849.919999999998</v>
      </c>
      <c r="Z12" s="1101">
        <f>Z9+Z10+Z11</f>
        <v>1594694.115486</v>
      </c>
    </row>
    <row r="13" spans="1:26" s="1112" customFormat="1" ht="15.75">
      <c r="A13" s="250" t="s">
        <v>1709</v>
      </c>
      <c r="B13" s="1107">
        <v>4.2389999999999999</v>
      </c>
      <c r="C13" s="1108">
        <f>ROUND(D13/B13,2)</f>
        <v>6401.58</v>
      </c>
      <c r="D13" s="1108">
        <v>27136.31</v>
      </c>
      <c r="E13" s="462"/>
      <c r="F13" s="462"/>
      <c r="G13" s="462">
        <f>E13*F13</f>
        <v>0</v>
      </c>
      <c r="H13" s="462">
        <f>D13+G13</f>
        <v>27136.31</v>
      </c>
      <c r="I13" s="1109">
        <v>46.28</v>
      </c>
      <c r="J13" s="1110">
        <f>4178.51*1.18</f>
        <v>4930.6418000000003</v>
      </c>
      <c r="K13" s="1108">
        <f>I13*J13</f>
        <v>228190.10250400001</v>
      </c>
      <c r="L13" s="462"/>
      <c r="M13" s="811"/>
      <c r="N13" s="462">
        <f>L13*M13</f>
        <v>0</v>
      </c>
      <c r="O13" s="462">
        <f>K13+N13</f>
        <v>228190.10250400001</v>
      </c>
      <c r="P13" s="1109">
        <v>86</v>
      </c>
      <c r="Q13" s="1111">
        <v>121.08</v>
      </c>
      <c r="R13" s="1108">
        <f>P13*Q13</f>
        <v>10412.879999999999</v>
      </c>
      <c r="S13" s="462"/>
      <c r="T13" s="462"/>
      <c r="U13" s="462">
        <f>S13*T13</f>
        <v>0</v>
      </c>
      <c r="V13" s="1109">
        <v>54</v>
      </c>
      <c r="W13" s="1111">
        <v>296.77</v>
      </c>
      <c r="X13" s="1108">
        <f>V13*W13</f>
        <v>16025.579999999998</v>
      </c>
      <c r="Y13" s="462">
        <f>R13+U13+X13</f>
        <v>26438.46</v>
      </c>
      <c r="Z13" s="462">
        <f>H13+O13+Y13</f>
        <v>281764.87250400003</v>
      </c>
    </row>
    <row r="14" spans="1:26" s="1112" customFormat="1" ht="15.75">
      <c r="A14" s="250" t="s">
        <v>1710</v>
      </c>
      <c r="B14" s="1107">
        <v>6.8849999999999998</v>
      </c>
      <c r="C14" s="1108">
        <f>ROUND(D14/B14,2)</f>
        <v>5987.12</v>
      </c>
      <c r="D14" s="1108">
        <v>41221.32</v>
      </c>
      <c r="E14" s="462"/>
      <c r="F14" s="462"/>
      <c r="G14" s="462">
        <f>E14*F14</f>
        <v>0</v>
      </c>
      <c r="H14" s="462">
        <f>D14+G14</f>
        <v>41221.32</v>
      </c>
      <c r="I14" s="1109">
        <v>12.53</v>
      </c>
      <c r="J14" s="1110">
        <f>4178.51*1.18</f>
        <v>4930.6418000000003</v>
      </c>
      <c r="K14" s="1108">
        <f>I14*J14</f>
        <v>61780.941753999999</v>
      </c>
      <c r="L14" s="811"/>
      <c r="M14" s="811"/>
      <c r="N14" s="462">
        <f>L14*M14</f>
        <v>0</v>
      </c>
      <c r="O14" s="462">
        <f>K14+N14</f>
        <v>61780.941753999999</v>
      </c>
      <c r="P14" s="1109">
        <v>42</v>
      </c>
      <c r="Q14" s="1111">
        <v>121.08</v>
      </c>
      <c r="R14" s="1108">
        <f>P14*Q14</f>
        <v>5085.3599999999997</v>
      </c>
      <c r="S14" s="462"/>
      <c r="T14" s="462"/>
      <c r="U14" s="462">
        <f>S14*T14</f>
        <v>0</v>
      </c>
      <c r="V14" s="1109">
        <v>27</v>
      </c>
      <c r="W14" s="1111">
        <v>296.77</v>
      </c>
      <c r="X14" s="1108">
        <f>V14*W14</f>
        <v>8012.7899999999991</v>
      </c>
      <c r="Y14" s="462">
        <f>R14+U14+X14</f>
        <v>13098.149999999998</v>
      </c>
      <c r="Z14" s="462">
        <f>H14+O14+Y14</f>
        <v>116100.411754</v>
      </c>
    </row>
    <row r="15" spans="1:26" s="1112" customFormat="1" ht="15.75">
      <c r="A15" s="250" t="s">
        <v>1711</v>
      </c>
      <c r="B15" s="1107">
        <v>0.83599999999999997</v>
      </c>
      <c r="C15" s="1108">
        <f>ROUND(D15/B15,2)</f>
        <v>6027.01</v>
      </c>
      <c r="D15" s="1108">
        <v>5038.58</v>
      </c>
      <c r="E15" s="462"/>
      <c r="F15" s="462"/>
      <c r="G15" s="462">
        <f>E15*F15</f>
        <v>0</v>
      </c>
      <c r="H15" s="462">
        <f>D15+G15</f>
        <v>5038.58</v>
      </c>
      <c r="I15" s="1109">
        <v>0</v>
      </c>
      <c r="J15" s="1110">
        <f>4178.51*1.18</f>
        <v>4930.6418000000003</v>
      </c>
      <c r="K15" s="1108">
        <f>I15*J15</f>
        <v>0</v>
      </c>
      <c r="L15" s="811"/>
      <c r="M15" s="811"/>
      <c r="N15" s="462">
        <f>L15*M15</f>
        <v>0</v>
      </c>
      <c r="O15" s="462">
        <f>K15+N15</f>
        <v>0</v>
      </c>
      <c r="P15" s="1109">
        <v>34</v>
      </c>
      <c r="Q15" s="1111">
        <f>R15/P15</f>
        <v>121.08029411764704</v>
      </c>
      <c r="R15" s="1108">
        <v>4116.7299999999996</v>
      </c>
      <c r="S15" s="811"/>
      <c r="T15" s="462"/>
      <c r="U15" s="462">
        <f>S15*T15</f>
        <v>0</v>
      </c>
      <c r="V15" s="1113"/>
      <c r="W15" s="1111">
        <v>296.77</v>
      </c>
      <c r="X15" s="1108">
        <f>V15*W15</f>
        <v>0</v>
      </c>
      <c r="Y15" s="462">
        <f>R15+U15+X15</f>
        <v>4116.7299999999996</v>
      </c>
      <c r="Z15" s="462">
        <f>H15+O15+Y15</f>
        <v>9155.31</v>
      </c>
    </row>
    <row r="16" spans="1:26" s="1115" customFormat="1" ht="33.75" customHeight="1">
      <c r="A16" s="1102" t="s">
        <v>207</v>
      </c>
      <c r="B16" s="1114">
        <f>B13+B14+B15</f>
        <v>11.959999999999999</v>
      </c>
      <c r="C16" s="1100"/>
      <c r="D16" s="1101">
        <f>D13+D14+D15</f>
        <v>73396.210000000006</v>
      </c>
      <c r="E16" s="1101">
        <v>0</v>
      </c>
      <c r="F16" s="1101"/>
      <c r="G16" s="1101">
        <f>G13+G14+G15</f>
        <v>0</v>
      </c>
      <c r="H16" s="1101">
        <f>H13+H14+H15</f>
        <v>73396.210000000006</v>
      </c>
      <c r="I16" s="1100">
        <f>I13+I14+I15</f>
        <v>58.81</v>
      </c>
      <c r="J16" s="1100"/>
      <c r="K16" s="1101">
        <f>K13+K14+K15</f>
        <v>289971.04425799998</v>
      </c>
      <c r="L16" s="1101">
        <f>L13+L14+L15</f>
        <v>0</v>
      </c>
      <c r="M16" s="1101"/>
      <c r="N16" s="1101">
        <f>N13+N14+N15</f>
        <v>0</v>
      </c>
      <c r="O16" s="1101">
        <f>O13+O14+O15</f>
        <v>289971.04425799998</v>
      </c>
      <c r="P16" s="1100">
        <f>P13+P14+P15</f>
        <v>162</v>
      </c>
      <c r="Q16" s="1101"/>
      <c r="R16" s="1101">
        <f>R13+R14+R15</f>
        <v>19614.969999999998</v>
      </c>
      <c r="S16" s="1101">
        <f>S13+S14+S15</f>
        <v>0</v>
      </c>
      <c r="T16" s="1101"/>
      <c r="U16" s="1101">
        <f>U13+U14+U15</f>
        <v>0</v>
      </c>
      <c r="V16" s="1100">
        <f>V13+V14+V15</f>
        <v>81</v>
      </c>
      <c r="W16" s="1101"/>
      <c r="X16" s="1101">
        <f>X13+X14+X15</f>
        <v>24038.369999999995</v>
      </c>
      <c r="Y16" s="1101">
        <f>Y13+Y14+Y15</f>
        <v>43653.34</v>
      </c>
      <c r="Z16" s="1101">
        <f>Z13+Z14+Z15</f>
        <v>407020.59425800003</v>
      </c>
    </row>
    <row r="17" spans="1:26" s="1112" customFormat="1" ht="15.75">
      <c r="A17" s="250" t="s">
        <v>1712</v>
      </c>
      <c r="B17" s="1107">
        <v>1.1359999999999999</v>
      </c>
      <c r="C17" s="1108">
        <f>ROUND(D17/B17,2)</f>
        <v>6746.65</v>
      </c>
      <c r="D17" s="1108">
        <v>7664.19</v>
      </c>
      <c r="E17" s="462"/>
      <c r="F17" s="462"/>
      <c r="G17" s="462">
        <f>E17*F17</f>
        <v>0</v>
      </c>
      <c r="H17" s="462">
        <f>D17+G17</f>
        <v>7664.19</v>
      </c>
      <c r="I17" s="1109">
        <v>0</v>
      </c>
      <c r="J17" s="1110">
        <f>4341.47*1.18</f>
        <v>5122.9345999999996</v>
      </c>
      <c r="K17" s="1108">
        <f>I17*J17</f>
        <v>0</v>
      </c>
      <c r="L17" s="462"/>
      <c r="M17" s="811"/>
      <c r="N17" s="462">
        <f>L17*M17</f>
        <v>0</v>
      </c>
      <c r="O17" s="462">
        <f>K17+N17</f>
        <v>0</v>
      </c>
      <c r="P17" s="1109">
        <v>0</v>
      </c>
      <c r="Q17" s="1111">
        <f>107.29*1.18</f>
        <v>126.6022</v>
      </c>
      <c r="R17" s="1108">
        <f>P17*Q17</f>
        <v>0</v>
      </c>
      <c r="S17" s="462"/>
      <c r="T17" s="462"/>
      <c r="U17" s="462">
        <f>S17*T17</f>
        <v>0</v>
      </c>
      <c r="V17" s="1109">
        <v>0</v>
      </c>
      <c r="W17" s="1111">
        <v>296.77</v>
      </c>
      <c r="X17" s="1108">
        <f>V17*W17</f>
        <v>0</v>
      </c>
      <c r="Y17" s="462">
        <f>R17+U17+X17</f>
        <v>0</v>
      </c>
      <c r="Z17" s="462">
        <f>H17+O17+Y17</f>
        <v>7664.19</v>
      </c>
    </row>
    <row r="18" spans="1:26" s="1112" customFormat="1" ht="15.75">
      <c r="A18" s="250" t="s">
        <v>1713</v>
      </c>
      <c r="B18" s="1107">
        <v>4.4260000000000002</v>
      </c>
      <c r="C18" s="1108">
        <f>ROUND(D18/B18,2)</f>
        <v>7059.53</v>
      </c>
      <c r="D18" s="1108">
        <v>31245.47</v>
      </c>
      <c r="E18" s="462"/>
      <c r="F18" s="462"/>
      <c r="G18" s="462">
        <f>E18*F18</f>
        <v>0</v>
      </c>
      <c r="H18" s="462">
        <f>D18+G18</f>
        <v>31245.47</v>
      </c>
      <c r="I18" s="1109">
        <v>0</v>
      </c>
      <c r="J18" s="1110">
        <f>4341.47*1.18</f>
        <v>5122.9345999999996</v>
      </c>
      <c r="K18" s="1108">
        <f>I18*J18</f>
        <v>0</v>
      </c>
      <c r="L18" s="462"/>
      <c r="M18" s="462"/>
      <c r="N18" s="462">
        <f>L18*M18</f>
        <v>0</v>
      </c>
      <c r="O18" s="462">
        <f>K18+N18</f>
        <v>0</v>
      </c>
      <c r="P18" s="1109">
        <v>0</v>
      </c>
      <c r="Q18" s="1111">
        <f>107.29*1.18</f>
        <v>126.6022</v>
      </c>
      <c r="R18" s="1108">
        <f>P18*Q18</f>
        <v>0</v>
      </c>
      <c r="S18" s="462"/>
      <c r="T18" s="462"/>
      <c r="U18" s="462">
        <f>S18*T18</f>
        <v>0</v>
      </c>
      <c r="V18" s="1109">
        <v>0</v>
      </c>
      <c r="W18" s="1111">
        <v>296.77</v>
      </c>
      <c r="X18" s="1108">
        <f>V18*W18</f>
        <v>0</v>
      </c>
      <c r="Y18" s="462">
        <f>R18+U18+X18</f>
        <v>0</v>
      </c>
      <c r="Z18" s="462">
        <f>H18+O18+Y18</f>
        <v>31245.47</v>
      </c>
    </row>
    <row r="19" spans="1:26" s="1112" customFormat="1" ht="16.7" customHeight="1">
      <c r="A19" s="250" t="s">
        <v>1714</v>
      </c>
      <c r="B19" s="1107">
        <v>7.4470000000000001</v>
      </c>
      <c r="C19" s="1108">
        <f>ROUND(D19/B19,2)</f>
        <v>7268.19</v>
      </c>
      <c r="D19" s="1108">
        <v>54126.19</v>
      </c>
      <c r="E19" s="462"/>
      <c r="F19" s="462"/>
      <c r="G19" s="462">
        <f>E19*F19</f>
        <v>0</v>
      </c>
      <c r="H19" s="462">
        <f>D19+G19</f>
        <v>54126.19</v>
      </c>
      <c r="I19" s="1107">
        <v>11.21</v>
      </c>
      <c r="J19" s="1108">
        <f>ROUND(K19/I19,2)</f>
        <v>4643.32</v>
      </c>
      <c r="K19" s="1108">
        <v>52051.62</v>
      </c>
      <c r="L19" s="462"/>
      <c r="M19" s="462"/>
      <c r="N19" s="462">
        <f>L19*M19</f>
        <v>0</v>
      </c>
      <c r="O19" s="462">
        <f>K19+N19</f>
        <v>52051.62</v>
      </c>
      <c r="P19" s="1109">
        <v>51</v>
      </c>
      <c r="Q19" s="1111">
        <f>R19/P19</f>
        <v>126.60156862745099</v>
      </c>
      <c r="R19" s="1108">
        <v>6456.68</v>
      </c>
      <c r="S19" s="462"/>
      <c r="T19" s="462"/>
      <c r="U19" s="462">
        <f>S19*T19</f>
        <v>0</v>
      </c>
      <c r="V19" s="1113">
        <v>34</v>
      </c>
      <c r="W19" s="1111">
        <v>296.77</v>
      </c>
      <c r="X19" s="1108">
        <f>V19*W19</f>
        <v>10090.18</v>
      </c>
      <c r="Y19" s="462">
        <f>R19+U19+X19</f>
        <v>16546.86</v>
      </c>
      <c r="Z19" s="462">
        <f>H19+O19+Y19</f>
        <v>122724.67</v>
      </c>
    </row>
    <row r="20" spans="1:26" s="1115" customFormat="1" ht="33.75" customHeight="1">
      <c r="A20" s="1102" t="s">
        <v>208</v>
      </c>
      <c r="B20" s="1114">
        <f>B17+B18+B19</f>
        <v>13.009</v>
      </c>
      <c r="C20" s="1100"/>
      <c r="D20" s="1101">
        <f>D17+D18+D19</f>
        <v>93035.85</v>
      </c>
      <c r="E20" s="1101">
        <f>E17+E18+E19</f>
        <v>0</v>
      </c>
      <c r="F20" s="1101"/>
      <c r="G20" s="1101">
        <f>G17+G18+G19</f>
        <v>0</v>
      </c>
      <c r="H20" s="1101">
        <f>H17+H18+H19</f>
        <v>93035.85</v>
      </c>
      <c r="I20" s="1100">
        <f>I17+I18+I19</f>
        <v>11.21</v>
      </c>
      <c r="J20" s="1100"/>
      <c r="K20" s="1101">
        <f>K17+K18+K19</f>
        <v>52051.62</v>
      </c>
      <c r="L20" s="1101">
        <f>L17+L18+L19</f>
        <v>0</v>
      </c>
      <c r="M20" s="1101"/>
      <c r="N20" s="1101">
        <f>N17+N18+N19</f>
        <v>0</v>
      </c>
      <c r="O20" s="1101">
        <f>O17+O18+O19</f>
        <v>52051.62</v>
      </c>
      <c r="P20" s="1100">
        <f>P17+P18+P19</f>
        <v>51</v>
      </c>
      <c r="Q20" s="1101"/>
      <c r="R20" s="1101">
        <f>R17+R18+R19</f>
        <v>6456.68</v>
      </c>
      <c r="S20" s="1101">
        <f>S17+S18+S19</f>
        <v>0</v>
      </c>
      <c r="T20" s="1101"/>
      <c r="U20" s="1101">
        <f>U17+U18+U19</f>
        <v>0</v>
      </c>
      <c r="V20" s="1100">
        <f>V17+V18+V19</f>
        <v>34</v>
      </c>
      <c r="W20" s="1101"/>
      <c r="X20" s="1101">
        <f>X17+X18+X19</f>
        <v>10090.18</v>
      </c>
      <c r="Y20" s="1101">
        <f>Y17+Y18+Y19</f>
        <v>16546.86</v>
      </c>
      <c r="Z20" s="1101">
        <f>Z17+Z18+Z19</f>
        <v>161634.33000000002</v>
      </c>
    </row>
    <row r="21" spans="1:26" s="1112" customFormat="1" ht="15.75">
      <c r="A21" s="250" t="s">
        <v>1715</v>
      </c>
      <c r="B21" s="1107">
        <v>7.1180000000000003</v>
      </c>
      <c r="C21" s="1108">
        <f>ROUND(D21/B21,2)</f>
        <v>7272.02</v>
      </c>
      <c r="D21" s="1108">
        <v>51762.25</v>
      </c>
      <c r="E21" s="462"/>
      <c r="F21" s="462"/>
      <c r="G21" s="462">
        <f>E21*F21</f>
        <v>0</v>
      </c>
      <c r="H21" s="462">
        <f>D21+G21</f>
        <v>51762.25</v>
      </c>
      <c r="I21" s="1107">
        <v>48.6</v>
      </c>
      <c r="J21" s="1108">
        <f>ROUND(K21/I21,2)</f>
        <v>4677.37</v>
      </c>
      <c r="K21" s="1108">
        <v>227320.24</v>
      </c>
      <c r="L21" s="462"/>
      <c r="M21" s="462"/>
      <c r="N21" s="462">
        <f>L21*M21</f>
        <v>0</v>
      </c>
      <c r="O21" s="462">
        <f>K21+N21</f>
        <v>227320.24</v>
      </c>
      <c r="P21" s="1109">
        <v>53</v>
      </c>
      <c r="Q21" s="1111">
        <f>R21/P21</f>
        <v>126.60150943396226</v>
      </c>
      <c r="R21" s="1108">
        <v>6709.88</v>
      </c>
      <c r="S21" s="462"/>
      <c r="T21" s="462"/>
      <c r="U21" s="462">
        <f>S21*T21</f>
        <v>0</v>
      </c>
      <c r="V21" s="1109">
        <v>34</v>
      </c>
      <c r="W21" s="1111">
        <v>296.77</v>
      </c>
      <c r="X21" s="1108">
        <f>V21*W21</f>
        <v>10090.18</v>
      </c>
      <c r="Y21" s="462">
        <f>R21+U21+X21</f>
        <v>16800.060000000001</v>
      </c>
      <c r="Z21" s="462">
        <f>H21+O21+Y21</f>
        <v>295882.55</v>
      </c>
    </row>
    <row r="22" spans="1:26" s="1112" customFormat="1" ht="15.75">
      <c r="A22" s="252" t="s">
        <v>1716</v>
      </c>
      <c r="B22" s="1107">
        <v>6.8259999999999996</v>
      </c>
      <c r="C22" s="1108">
        <f>ROUND(D22/B22,2)</f>
        <v>7422.93</v>
      </c>
      <c r="D22" s="1108">
        <v>50668.93</v>
      </c>
      <c r="E22" s="462"/>
      <c r="F22" s="462"/>
      <c r="G22" s="462">
        <f>E22*F22</f>
        <v>0</v>
      </c>
      <c r="H22" s="462">
        <f>D22+G22</f>
        <v>50668.93</v>
      </c>
      <c r="I22" s="1107">
        <v>78.77</v>
      </c>
      <c r="J22" s="1108">
        <f>ROUND(K22/I22,2)</f>
        <v>4659.53</v>
      </c>
      <c r="K22" s="1108">
        <v>367031.35</v>
      </c>
      <c r="L22" s="462"/>
      <c r="M22" s="462"/>
      <c r="N22" s="462">
        <v>0</v>
      </c>
      <c r="O22" s="462">
        <f>K22+N22</f>
        <v>367031.35</v>
      </c>
      <c r="P22" s="1109">
        <v>52</v>
      </c>
      <c r="Q22" s="1111">
        <f>R22/P22</f>
        <v>126.60153846153845</v>
      </c>
      <c r="R22" s="1108">
        <v>6583.28</v>
      </c>
      <c r="S22" s="462"/>
      <c r="T22" s="462"/>
      <c r="U22" s="462">
        <f>S22*T22</f>
        <v>0</v>
      </c>
      <c r="V22" s="1109">
        <v>52</v>
      </c>
      <c r="W22" s="1111">
        <v>296.77</v>
      </c>
      <c r="X22" s="1108">
        <f>V22*W22</f>
        <v>15432.039999999999</v>
      </c>
      <c r="Y22" s="462">
        <f>R22+U22+X22</f>
        <v>22015.32</v>
      </c>
      <c r="Z22" s="462">
        <f>H22+O22+Y22</f>
        <v>439715.6</v>
      </c>
    </row>
    <row r="23" spans="1:26" s="1112" customFormat="1" ht="15.75">
      <c r="A23" s="252" t="s">
        <v>1717</v>
      </c>
      <c r="B23" s="1107">
        <v>4.0986444000000004</v>
      </c>
      <c r="C23" s="1108">
        <f>ROUND(D23/B23,2)</f>
        <v>7422.93</v>
      </c>
      <c r="D23" s="1108">
        <v>30423.95</v>
      </c>
      <c r="E23" s="462"/>
      <c r="F23" s="462"/>
      <c r="G23" s="462">
        <f>E23*F23</f>
        <v>0</v>
      </c>
      <c r="H23" s="462">
        <f>D23+G23</f>
        <v>30423.95</v>
      </c>
      <c r="I23" s="1107">
        <v>104.6</v>
      </c>
      <c r="J23" s="1108">
        <f>ROUND(K23/I23,2)</f>
        <v>4661.45</v>
      </c>
      <c r="K23" s="1108">
        <v>487587.89</v>
      </c>
      <c r="L23" s="462"/>
      <c r="M23" s="462"/>
      <c r="N23" s="462">
        <f>L23*M23</f>
        <v>0</v>
      </c>
      <c r="O23" s="462">
        <f>K23+N23</f>
        <v>487587.89</v>
      </c>
      <c r="P23" s="1109">
        <v>54</v>
      </c>
      <c r="Q23" s="1111">
        <f>R23/P23</f>
        <v>126.6012962962963</v>
      </c>
      <c r="R23" s="1108">
        <v>6836.47</v>
      </c>
      <c r="S23" s="462"/>
      <c r="T23" s="462"/>
      <c r="U23" s="462">
        <f>S23*T23</f>
        <v>0</v>
      </c>
      <c r="V23" s="1113">
        <v>54</v>
      </c>
      <c r="W23" s="1111">
        <v>296.77</v>
      </c>
      <c r="X23" s="1108">
        <f>V23*W23</f>
        <v>16025.579999999998</v>
      </c>
      <c r="Y23" s="462">
        <f>R23+U23+X23</f>
        <v>22862.05</v>
      </c>
      <c r="Z23" s="462">
        <f>H23+O23+Y23</f>
        <v>540873.89</v>
      </c>
    </row>
    <row r="24" spans="1:26" s="1115" customFormat="1" ht="33.75" customHeight="1">
      <c r="A24" s="1102" t="s">
        <v>209</v>
      </c>
      <c r="B24" s="1114">
        <f>B21+B22+B23</f>
        <v>18.0426444</v>
      </c>
      <c r="C24" s="1100"/>
      <c r="D24" s="1101">
        <f>D21+D22+D23</f>
        <v>132855.13</v>
      </c>
      <c r="E24" s="1101">
        <f>E21+E22+E23</f>
        <v>0</v>
      </c>
      <c r="F24" s="1101"/>
      <c r="G24" s="1101">
        <f>G21+G22+G23</f>
        <v>0</v>
      </c>
      <c r="H24" s="1101">
        <f>H21+H22+H23</f>
        <v>132855.13</v>
      </c>
      <c r="I24" s="1100">
        <f>I21+I22+I23</f>
        <v>231.97</v>
      </c>
      <c r="J24" s="1100"/>
      <c r="K24" s="1101">
        <f>K21+K22+K23</f>
        <v>1081939.48</v>
      </c>
      <c r="L24" s="1101">
        <f>L21+L22+L23</f>
        <v>0</v>
      </c>
      <c r="M24" s="1101"/>
      <c r="N24" s="1101">
        <f>N21+N22+N23</f>
        <v>0</v>
      </c>
      <c r="O24" s="1101">
        <f>O21+O22+O23</f>
        <v>1081939.48</v>
      </c>
      <c r="P24" s="1100">
        <f>P21+P22+P23</f>
        <v>159</v>
      </c>
      <c r="Q24" s="1101"/>
      <c r="R24" s="1101">
        <f>R21+R22+R23</f>
        <v>20129.63</v>
      </c>
      <c r="S24" s="1101">
        <f>S21+S22+S23</f>
        <v>0</v>
      </c>
      <c r="T24" s="1101"/>
      <c r="U24" s="1101">
        <f>U21+U22+U23</f>
        <v>0</v>
      </c>
      <c r="V24" s="1100">
        <f>V21+V22+V23</f>
        <v>140</v>
      </c>
      <c r="W24" s="1101"/>
      <c r="X24" s="1101">
        <f>X21+X22+X23</f>
        <v>41547.800000000003</v>
      </c>
      <c r="Y24" s="1101">
        <f>Y21+Y22+Y23</f>
        <v>61677.430000000008</v>
      </c>
      <c r="Z24" s="1101">
        <f>Z21+Z22+Z23</f>
        <v>1276472.04</v>
      </c>
    </row>
    <row r="25" spans="1:26" s="1117" customFormat="1" ht="33.75" customHeight="1">
      <c r="A25" s="1103" t="s">
        <v>1527</v>
      </c>
      <c r="B25" s="1116">
        <f>B24+B20+B16+B12</f>
        <v>68.531644400000005</v>
      </c>
      <c r="C25" s="1104"/>
      <c r="D25" s="1105">
        <f>D24+D20+D16+D12</f>
        <v>467151.05</v>
      </c>
      <c r="E25" s="1105">
        <f>E24+E20+E16+E12</f>
        <v>0</v>
      </c>
      <c r="F25" s="1105"/>
      <c r="G25" s="1105">
        <f>G24+G20+G16+G12</f>
        <v>0</v>
      </c>
      <c r="H25" s="1105">
        <f>H24+H20+H16+H12</f>
        <v>467151.05</v>
      </c>
      <c r="I25" s="1104">
        <f>I24+I20+I16+I12</f>
        <v>581.26</v>
      </c>
      <c r="J25" s="1104"/>
      <c r="K25" s="1105">
        <f>K24+K20+K16+K12</f>
        <v>2800942.4797439999</v>
      </c>
      <c r="L25" s="1105">
        <f>L24+L20+L16+L12</f>
        <v>0</v>
      </c>
      <c r="M25" s="1105"/>
      <c r="N25" s="1105">
        <f>N24+N20+N16+N12</f>
        <v>0</v>
      </c>
      <c r="O25" s="1105">
        <f>O24+O20+O16+O12</f>
        <v>2800942.4797439999</v>
      </c>
      <c r="P25" s="1104">
        <f>P24+P20+P16+P12</f>
        <v>519</v>
      </c>
      <c r="Q25" s="1105"/>
      <c r="R25" s="1105">
        <f>R24+R20+R16+R12</f>
        <v>64000.04</v>
      </c>
      <c r="S25" s="1105">
        <f>S24+S20+S16+S12</f>
        <v>0</v>
      </c>
      <c r="T25" s="1105"/>
      <c r="U25" s="1105">
        <f>U24+U20+U16+U12</f>
        <v>0</v>
      </c>
      <c r="V25" s="1104">
        <f>V24+V20+V16+V12</f>
        <v>363</v>
      </c>
      <c r="W25" s="1105"/>
      <c r="X25" s="1105">
        <f>X24+X20+X16+X12</f>
        <v>107727.51000000001</v>
      </c>
      <c r="Y25" s="1105">
        <f>Y24+Y20+Y16+Y12</f>
        <v>171727.55</v>
      </c>
      <c r="Z25" s="1105">
        <f>Z24+Z20+Z16+Z12</f>
        <v>3439821.079744</v>
      </c>
    </row>
    <row r="26" spans="1:26" ht="50.25" customHeight="1">
      <c r="A26" s="1837" t="s">
        <v>462</v>
      </c>
      <c r="B26" s="1837"/>
      <c r="C26" s="1837"/>
      <c r="D26" s="1837"/>
      <c r="E26" s="1837"/>
      <c r="F26" s="1837"/>
      <c r="G26" s="1837"/>
      <c r="H26" s="1837"/>
      <c r="I26" s="1837"/>
      <c r="J26" s="1837"/>
      <c r="K26" s="1837"/>
      <c r="L26" s="1837"/>
      <c r="M26" s="1837"/>
      <c r="N26" s="1837"/>
      <c r="O26" s="1837"/>
      <c r="P26" s="1837"/>
      <c r="Q26" s="1837"/>
      <c r="R26" s="1837"/>
      <c r="S26" s="1837"/>
      <c r="T26" s="1837"/>
      <c r="U26" s="1837"/>
      <c r="V26" s="1837"/>
      <c r="W26" s="1837"/>
      <c r="X26" s="1837"/>
      <c r="Y26" s="1837"/>
      <c r="Z26" s="1837"/>
    </row>
    <row r="27" spans="1:26" ht="20.45" customHeight="1">
      <c r="A27" s="1818" t="s">
        <v>1689</v>
      </c>
      <c r="B27" s="1815" t="s">
        <v>1690</v>
      </c>
      <c r="C27" s="1816"/>
      <c r="D27" s="1816"/>
      <c r="E27" s="1816"/>
      <c r="F27" s="1816"/>
      <c r="G27" s="1817"/>
      <c r="H27" s="1818" t="s">
        <v>1918</v>
      </c>
      <c r="I27" s="1815" t="s">
        <v>1691</v>
      </c>
      <c r="J27" s="1816"/>
      <c r="K27" s="1816"/>
      <c r="L27" s="1816"/>
      <c r="M27" s="1816"/>
      <c r="N27" s="1817"/>
      <c r="O27" s="1818" t="s">
        <v>1692</v>
      </c>
      <c r="P27" s="1827" t="s">
        <v>1693</v>
      </c>
      <c r="Q27" s="1828"/>
      <c r="R27" s="1829"/>
      <c r="S27" s="1815" t="s">
        <v>1694</v>
      </c>
      <c r="T27" s="1816"/>
      <c r="U27" s="1816"/>
      <c r="V27" s="1816"/>
      <c r="W27" s="1816"/>
      <c r="X27" s="1817"/>
      <c r="Y27" s="1818" t="s">
        <v>1695</v>
      </c>
      <c r="Z27" s="1818" t="s">
        <v>1565</v>
      </c>
    </row>
    <row r="28" spans="1:26" ht="27" customHeight="1">
      <c r="A28" s="1819"/>
      <c r="B28" s="1815" t="s">
        <v>1696</v>
      </c>
      <c r="C28" s="1816"/>
      <c r="D28" s="1817"/>
      <c r="E28" s="1815" t="s">
        <v>1697</v>
      </c>
      <c r="F28" s="1816"/>
      <c r="G28" s="1817"/>
      <c r="H28" s="1819"/>
      <c r="I28" s="1821" t="s">
        <v>1691</v>
      </c>
      <c r="J28" s="1822"/>
      <c r="K28" s="1823"/>
      <c r="L28" s="1836" t="s">
        <v>1698</v>
      </c>
      <c r="M28" s="1836"/>
      <c r="N28" s="1836"/>
      <c r="O28" s="1819"/>
      <c r="P28" s="1830"/>
      <c r="Q28" s="1831"/>
      <c r="R28" s="1832"/>
      <c r="S28" s="1821" t="s">
        <v>1699</v>
      </c>
      <c r="T28" s="1822"/>
      <c r="U28" s="1823"/>
      <c r="V28" s="1821" t="s">
        <v>1700</v>
      </c>
      <c r="W28" s="1822"/>
      <c r="X28" s="1823"/>
      <c r="Y28" s="1819"/>
      <c r="Z28" s="1819"/>
    </row>
    <row r="29" spans="1:26" ht="47.25">
      <c r="A29" s="1820"/>
      <c r="B29" s="462" t="s">
        <v>1701</v>
      </c>
      <c r="C29" s="462" t="s">
        <v>1702</v>
      </c>
      <c r="D29" s="462" t="s">
        <v>90</v>
      </c>
      <c r="E29" s="462" t="s">
        <v>1701</v>
      </c>
      <c r="F29" s="462" t="s">
        <v>1703</v>
      </c>
      <c r="G29" s="462" t="s">
        <v>1821</v>
      </c>
      <c r="H29" s="1820"/>
      <c r="I29" s="462" t="s">
        <v>1704</v>
      </c>
      <c r="J29" s="462" t="s">
        <v>1703</v>
      </c>
      <c r="K29" s="462" t="s">
        <v>90</v>
      </c>
      <c r="L29" s="462" t="s">
        <v>1705</v>
      </c>
      <c r="M29" s="462" t="s">
        <v>1703</v>
      </c>
      <c r="N29" s="462" t="s">
        <v>90</v>
      </c>
      <c r="O29" s="1820"/>
      <c r="P29" s="462" t="s">
        <v>1705</v>
      </c>
      <c r="Q29" s="462" t="s">
        <v>1703</v>
      </c>
      <c r="R29" s="462" t="s">
        <v>90</v>
      </c>
      <c r="S29" s="462" t="s">
        <v>1705</v>
      </c>
      <c r="T29" s="462" t="s">
        <v>1703</v>
      </c>
      <c r="U29" s="462" t="s">
        <v>90</v>
      </c>
      <c r="V29" s="462" t="s">
        <v>1705</v>
      </c>
      <c r="W29" s="462" t="s">
        <v>1703</v>
      </c>
      <c r="X29" s="462" t="s">
        <v>90</v>
      </c>
      <c r="Y29" s="1820"/>
      <c r="Z29" s="1820"/>
    </row>
    <row r="30" spans="1:26" s="1094" customFormat="1" ht="15.75">
      <c r="A30" s="408">
        <v>1</v>
      </c>
      <c r="B30" s="408">
        <v>2</v>
      </c>
      <c r="C30" s="408">
        <v>3</v>
      </c>
      <c r="D30" s="408">
        <v>4</v>
      </c>
      <c r="E30" s="408">
        <v>5</v>
      </c>
      <c r="F30" s="408">
        <v>6</v>
      </c>
      <c r="G30" s="408">
        <v>7</v>
      </c>
      <c r="H30" s="408">
        <v>8</v>
      </c>
      <c r="I30" s="408">
        <v>9</v>
      </c>
      <c r="J30" s="408">
        <v>10</v>
      </c>
      <c r="K30" s="408">
        <v>11</v>
      </c>
      <c r="L30" s="408">
        <v>12</v>
      </c>
      <c r="M30" s="408">
        <v>13</v>
      </c>
      <c r="N30" s="408">
        <v>14</v>
      </c>
      <c r="O30" s="408">
        <v>15</v>
      </c>
      <c r="P30" s="408">
        <v>16</v>
      </c>
      <c r="Q30" s="408">
        <v>17</v>
      </c>
      <c r="R30" s="408">
        <v>18</v>
      </c>
      <c r="S30" s="408">
        <v>19</v>
      </c>
      <c r="T30" s="408">
        <v>20</v>
      </c>
      <c r="U30" s="408">
        <v>21</v>
      </c>
      <c r="V30" s="408">
        <v>22</v>
      </c>
      <c r="W30" s="408">
        <v>23</v>
      </c>
      <c r="X30" s="408">
        <v>24</v>
      </c>
      <c r="Y30" s="408">
        <v>25</v>
      </c>
      <c r="Z30" s="408">
        <v>26</v>
      </c>
    </row>
    <row r="31" spans="1:26" s="1112" customFormat="1" ht="15.75">
      <c r="A31" s="250" t="s">
        <v>1706</v>
      </c>
      <c r="B31" s="1107">
        <v>10.337</v>
      </c>
      <c r="C31" s="1108">
        <v>6816.53</v>
      </c>
      <c r="D31" s="1108">
        <f>B31*C31</f>
        <v>70462.470609999989</v>
      </c>
      <c r="E31" s="462"/>
      <c r="F31" s="462"/>
      <c r="G31" s="462">
        <f>E31*F31</f>
        <v>0</v>
      </c>
      <c r="H31" s="462">
        <f>D31+G31</f>
        <v>70462.470609999989</v>
      </c>
      <c r="I31" s="1109">
        <v>105.82</v>
      </c>
      <c r="J31" s="1110">
        <f>4341.47*1.18</f>
        <v>5122.9345999999996</v>
      </c>
      <c r="K31" s="1108">
        <f>I31*J31</f>
        <v>542108.93937199994</v>
      </c>
      <c r="L31" s="462"/>
      <c r="M31" s="1110"/>
      <c r="N31" s="462">
        <f>L31*M31</f>
        <v>0</v>
      </c>
      <c r="O31" s="462">
        <f>K31+N31</f>
        <v>542108.93937199994</v>
      </c>
      <c r="P31" s="1109">
        <v>0</v>
      </c>
      <c r="Q31" s="1111">
        <f>107.29*1.18</f>
        <v>126.6022</v>
      </c>
      <c r="R31" s="1108">
        <f>P31*Q31</f>
        <v>0</v>
      </c>
      <c r="S31" s="462"/>
      <c r="T31" s="462"/>
      <c r="U31" s="462">
        <f>S31*T31</f>
        <v>0</v>
      </c>
      <c r="V31" s="1109">
        <v>0</v>
      </c>
      <c r="W31" s="1111">
        <v>296.77</v>
      </c>
      <c r="X31" s="1108">
        <f>V31*W31</f>
        <v>0</v>
      </c>
      <c r="Y31" s="462">
        <f>R31+U31+X31</f>
        <v>0</v>
      </c>
      <c r="Z31" s="462">
        <f>H31+O31+Y31</f>
        <v>612571.4099819999</v>
      </c>
    </row>
    <row r="32" spans="1:26" s="1112" customFormat="1" ht="16.7" customHeight="1">
      <c r="A32" s="250" t="s">
        <v>1707</v>
      </c>
      <c r="B32" s="1107">
        <v>9.8789999999999996</v>
      </c>
      <c r="C32" s="1108">
        <v>6816.53</v>
      </c>
      <c r="D32" s="1108">
        <f>B32*C32</f>
        <v>67340.49987</v>
      </c>
      <c r="E32" s="462"/>
      <c r="F32" s="462"/>
      <c r="G32" s="462">
        <f>E32*F32</f>
        <v>0</v>
      </c>
      <c r="H32" s="462">
        <f>D32+G32</f>
        <v>67340.49987</v>
      </c>
      <c r="I32" s="1109">
        <v>95.1</v>
      </c>
      <c r="J32" s="1110">
        <f>4341.47*1.18</f>
        <v>5122.9345999999996</v>
      </c>
      <c r="K32" s="1108">
        <f>I32*J32</f>
        <v>487191.08045999991</v>
      </c>
      <c r="L32" s="811"/>
      <c r="M32" s="1110"/>
      <c r="N32" s="462">
        <f>L32*M32</f>
        <v>0</v>
      </c>
      <c r="O32" s="462">
        <f>K32+N32</f>
        <v>487191.08045999991</v>
      </c>
      <c r="P32" s="1109">
        <v>68</v>
      </c>
      <c r="Q32" s="1111">
        <f>107.29*1.18</f>
        <v>126.6022</v>
      </c>
      <c r="R32" s="1108">
        <f>P32*Q32</f>
        <v>8608.9495999999999</v>
      </c>
      <c r="S32" s="462"/>
      <c r="T32" s="462"/>
      <c r="U32" s="462">
        <f>S32*T32</f>
        <v>0</v>
      </c>
      <c r="V32" s="1109">
        <v>54</v>
      </c>
      <c r="W32" s="1111">
        <v>296.77</v>
      </c>
      <c r="X32" s="1108">
        <f>V32*W32</f>
        <v>16025.579999999998</v>
      </c>
      <c r="Y32" s="462">
        <f>R32+U32+X32</f>
        <v>24634.529599999998</v>
      </c>
      <c r="Z32" s="462">
        <f>H32+O32+Y32</f>
        <v>579166.10992999992</v>
      </c>
    </row>
    <row r="33" spans="1:26" s="1112" customFormat="1" ht="15.75">
      <c r="A33" s="250" t="s">
        <v>1708</v>
      </c>
      <c r="B33" s="1107">
        <v>5.3040000000000003</v>
      </c>
      <c r="C33" s="1108">
        <v>6816.53</v>
      </c>
      <c r="D33" s="1108">
        <f>B33*C33</f>
        <v>36154.875119999997</v>
      </c>
      <c r="E33" s="462"/>
      <c r="F33" s="462"/>
      <c r="G33" s="462">
        <f>E33*F33</f>
        <v>0</v>
      </c>
      <c r="H33" s="462">
        <f>D33+G33</f>
        <v>36154.875119999997</v>
      </c>
      <c r="I33" s="1109">
        <v>78.349999999999994</v>
      </c>
      <c r="J33" s="1110">
        <f>4341.47*1.18</f>
        <v>5122.9345999999996</v>
      </c>
      <c r="K33" s="1108">
        <f>I33*J33</f>
        <v>401381.92590999993</v>
      </c>
      <c r="L33" s="811"/>
      <c r="M33" s="1110"/>
      <c r="N33" s="462">
        <f>L33*M33</f>
        <v>0</v>
      </c>
      <c r="O33" s="462">
        <f>K33+N33</f>
        <v>401381.92590999993</v>
      </c>
      <c r="P33" s="1109">
        <v>79</v>
      </c>
      <c r="Q33" s="1111">
        <f>107.29*1.18</f>
        <v>126.6022</v>
      </c>
      <c r="R33" s="1108">
        <f>P33*Q33</f>
        <v>10001.5738</v>
      </c>
      <c r="S33" s="462"/>
      <c r="T33" s="462"/>
      <c r="U33" s="462">
        <f>S33*T33</f>
        <v>0</v>
      </c>
      <c r="V33" s="1113">
        <v>54</v>
      </c>
      <c r="W33" s="1111">
        <v>296.77</v>
      </c>
      <c r="X33" s="1108">
        <f>V33*W33</f>
        <v>16025.579999999998</v>
      </c>
      <c r="Y33" s="462">
        <f>R33+U33+X33</f>
        <v>26027.1538</v>
      </c>
      <c r="Z33" s="462">
        <f>H33+O33+Y33</f>
        <v>463563.95482999994</v>
      </c>
    </row>
    <row r="34" spans="1:26" s="1115" customFormat="1" ht="33.75" customHeight="1">
      <c r="A34" s="1102" t="s">
        <v>206</v>
      </c>
      <c r="B34" s="1114">
        <f>B31+B32+B33</f>
        <v>25.520000000000003</v>
      </c>
      <c r="C34" s="1100"/>
      <c r="D34" s="1101">
        <f>D31+D32+D33</f>
        <v>173957.8456</v>
      </c>
      <c r="E34" s="1101">
        <f>E31+E32+E33</f>
        <v>0</v>
      </c>
      <c r="F34" s="1101"/>
      <c r="G34" s="1101">
        <f>G31+G32+G33</f>
        <v>0</v>
      </c>
      <c r="H34" s="1101">
        <f>H31+H32+H33</f>
        <v>173957.8456</v>
      </c>
      <c r="I34" s="1100">
        <f>I31+I32+I33</f>
        <v>279.27</v>
      </c>
      <c r="J34" s="1100"/>
      <c r="K34" s="1101">
        <f>K31+K32+K33</f>
        <v>1430681.9457419999</v>
      </c>
      <c r="L34" s="1101">
        <f>L31+L32+L33</f>
        <v>0</v>
      </c>
      <c r="M34" s="1101"/>
      <c r="N34" s="1101">
        <f>N31+N32+N33</f>
        <v>0</v>
      </c>
      <c r="O34" s="1101">
        <f>O31+O32+O33</f>
        <v>1430681.9457419999</v>
      </c>
      <c r="P34" s="1100">
        <f>P31+P32+P33</f>
        <v>147</v>
      </c>
      <c r="Q34" s="1101"/>
      <c r="R34" s="1101">
        <f>R31+R32+R33</f>
        <v>18610.523399999998</v>
      </c>
      <c r="S34" s="1101">
        <f>S31+S32+S33</f>
        <v>0</v>
      </c>
      <c r="T34" s="1101"/>
      <c r="U34" s="1101">
        <f>U31+U32+U33</f>
        <v>0</v>
      </c>
      <c r="V34" s="1100">
        <f>V31+V32+V33</f>
        <v>108</v>
      </c>
      <c r="W34" s="1101"/>
      <c r="X34" s="1101">
        <f>X31+X32+X33</f>
        <v>32051.159999999996</v>
      </c>
      <c r="Y34" s="1101">
        <f>Y31+Y32+Y33</f>
        <v>50661.683399999994</v>
      </c>
      <c r="Z34" s="1101">
        <f>Z31+Z32+Z33</f>
        <v>1655301.4747419998</v>
      </c>
    </row>
    <row r="35" spans="1:26" s="1112" customFormat="1" ht="15.75">
      <c r="A35" s="250" t="s">
        <v>1709</v>
      </c>
      <c r="B35" s="1107">
        <v>4.2389999999999999</v>
      </c>
      <c r="C35" s="1108">
        <v>6816.53</v>
      </c>
      <c r="D35" s="1108">
        <f>B35*C35</f>
        <v>28895.270669999998</v>
      </c>
      <c r="E35" s="462"/>
      <c r="F35" s="462"/>
      <c r="G35" s="462">
        <f>E35*F35</f>
        <v>0</v>
      </c>
      <c r="H35" s="462">
        <f>D35+G35</f>
        <v>28895.270669999998</v>
      </c>
      <c r="I35" s="1109">
        <v>46.28</v>
      </c>
      <c r="J35" s="1110">
        <f>4341.47*1.18</f>
        <v>5122.9345999999996</v>
      </c>
      <c r="K35" s="1108">
        <f>I35*J35</f>
        <v>237089.41328799998</v>
      </c>
      <c r="L35" s="462"/>
      <c r="M35" s="1110"/>
      <c r="N35" s="462">
        <f>L35*M35</f>
        <v>0</v>
      </c>
      <c r="O35" s="462">
        <f>K35+N35</f>
        <v>237089.41328799998</v>
      </c>
      <c r="P35" s="1109">
        <v>86</v>
      </c>
      <c r="Q35" s="1111">
        <f>107.29*1.18</f>
        <v>126.6022</v>
      </c>
      <c r="R35" s="1108">
        <f>P35*Q35</f>
        <v>10887.789199999999</v>
      </c>
      <c r="S35" s="462"/>
      <c r="T35" s="462"/>
      <c r="U35" s="462">
        <f>S35*T35</f>
        <v>0</v>
      </c>
      <c r="V35" s="1109">
        <v>54</v>
      </c>
      <c r="W35" s="1111">
        <v>296.77</v>
      </c>
      <c r="X35" s="1108">
        <f>V35*W35</f>
        <v>16025.579999999998</v>
      </c>
      <c r="Y35" s="462">
        <f>R35+U35+X35</f>
        <v>26913.369199999997</v>
      </c>
      <c r="Z35" s="462">
        <f>H35+O35+Y35</f>
        <v>292898.053158</v>
      </c>
    </row>
    <row r="36" spans="1:26" s="1112" customFormat="1" ht="15.75">
      <c r="A36" s="250" t="s">
        <v>1710</v>
      </c>
      <c r="B36" s="1107">
        <v>6.8849999999999998</v>
      </c>
      <c r="C36" s="1108">
        <v>6816.53</v>
      </c>
      <c r="D36" s="1108">
        <f>B36*C36</f>
        <v>46931.809049999996</v>
      </c>
      <c r="E36" s="462"/>
      <c r="F36" s="462"/>
      <c r="G36" s="462">
        <f>E36*F36</f>
        <v>0</v>
      </c>
      <c r="H36" s="462">
        <f>D36+G36</f>
        <v>46931.809049999996</v>
      </c>
      <c r="I36" s="1109">
        <v>12.53</v>
      </c>
      <c r="J36" s="1110">
        <f>4341.47*1.18</f>
        <v>5122.9345999999996</v>
      </c>
      <c r="K36" s="1108">
        <f>I36*J36</f>
        <v>64190.370537999988</v>
      </c>
      <c r="L36" s="811"/>
      <c r="M36" s="1110"/>
      <c r="N36" s="462">
        <f>L36*M36</f>
        <v>0</v>
      </c>
      <c r="O36" s="462">
        <f>K36+N36</f>
        <v>64190.370537999988</v>
      </c>
      <c r="P36" s="1109">
        <v>42</v>
      </c>
      <c r="Q36" s="1111">
        <f>107.29*1.18</f>
        <v>126.6022</v>
      </c>
      <c r="R36" s="1108">
        <f>P36*Q36</f>
        <v>5317.2924000000003</v>
      </c>
      <c r="S36" s="462"/>
      <c r="T36" s="462"/>
      <c r="U36" s="462">
        <f>S36*T36</f>
        <v>0</v>
      </c>
      <c r="V36" s="1109">
        <v>27</v>
      </c>
      <c r="W36" s="1111">
        <v>296.77</v>
      </c>
      <c r="X36" s="1108">
        <f>V36*W36</f>
        <v>8012.7899999999991</v>
      </c>
      <c r="Y36" s="462">
        <f>R36+U36+X36</f>
        <v>13330.082399999999</v>
      </c>
      <c r="Z36" s="462">
        <f>H36+O36+Y36</f>
        <v>124452.26198799998</v>
      </c>
    </row>
    <row r="37" spans="1:26" s="1112" customFormat="1" ht="15.75">
      <c r="A37" s="250" t="s">
        <v>1711</v>
      </c>
      <c r="B37" s="1107">
        <v>0.83599999999999997</v>
      </c>
      <c r="C37" s="1108">
        <v>6816.53</v>
      </c>
      <c r="D37" s="1108">
        <f>B37*C37</f>
        <v>5698.6190799999995</v>
      </c>
      <c r="E37" s="462"/>
      <c r="F37" s="462"/>
      <c r="G37" s="462">
        <f>E37*F37</f>
        <v>0</v>
      </c>
      <c r="H37" s="462">
        <f>D37+G37</f>
        <v>5698.6190799999995</v>
      </c>
      <c r="I37" s="1109">
        <v>0</v>
      </c>
      <c r="J37" s="1110"/>
      <c r="K37" s="1108">
        <f>I37*J37</f>
        <v>0</v>
      </c>
      <c r="L37" s="811"/>
      <c r="M37" s="811"/>
      <c r="N37" s="462">
        <f>L37*M37</f>
        <v>0</v>
      </c>
      <c r="O37" s="462">
        <f>K37+N37</f>
        <v>0</v>
      </c>
      <c r="P37" s="1109">
        <v>34</v>
      </c>
      <c r="Q37" s="1111">
        <f>107.29*1.18</f>
        <v>126.6022</v>
      </c>
      <c r="R37" s="1108">
        <v>4116.7299999999996</v>
      </c>
      <c r="S37" s="811"/>
      <c r="T37" s="462"/>
      <c r="U37" s="462">
        <f>S37*T37</f>
        <v>0</v>
      </c>
      <c r="V37" s="1113"/>
      <c r="W37" s="1111">
        <v>296.77</v>
      </c>
      <c r="X37" s="1108">
        <f>V37*W37</f>
        <v>0</v>
      </c>
      <c r="Y37" s="462">
        <f>R37+U37+X37</f>
        <v>4116.7299999999996</v>
      </c>
      <c r="Z37" s="462">
        <f>H37+O37+Y37</f>
        <v>9815.34908</v>
      </c>
    </row>
    <row r="38" spans="1:26" s="1115" customFormat="1" ht="33.75" customHeight="1">
      <c r="A38" s="1102" t="s">
        <v>207</v>
      </c>
      <c r="B38" s="1114">
        <f>B35+B36+B37</f>
        <v>11.959999999999999</v>
      </c>
      <c r="C38" s="1100"/>
      <c r="D38" s="1101">
        <f>D35+D36+D37</f>
        <v>81525.698799999998</v>
      </c>
      <c r="E38" s="1101">
        <v>0</v>
      </c>
      <c r="F38" s="1101"/>
      <c r="G38" s="1101">
        <f>G35+G36+G37</f>
        <v>0</v>
      </c>
      <c r="H38" s="1101">
        <f>H35+H36+H37</f>
        <v>81525.698799999998</v>
      </c>
      <c r="I38" s="1100">
        <f>I35+I36+I37</f>
        <v>58.81</v>
      </c>
      <c r="J38" s="1100"/>
      <c r="K38" s="1101">
        <f>K35+K36+K37</f>
        <v>301279.78382599994</v>
      </c>
      <c r="L38" s="1101">
        <f>L35+L36+L37</f>
        <v>0</v>
      </c>
      <c r="M38" s="1101"/>
      <c r="N38" s="1101">
        <f>N35+N36+N37</f>
        <v>0</v>
      </c>
      <c r="O38" s="1101">
        <f>O35+O36+O37</f>
        <v>301279.78382599994</v>
      </c>
      <c r="P38" s="1100">
        <f>P35+P36+P37</f>
        <v>162</v>
      </c>
      <c r="Q38" s="1101"/>
      <c r="R38" s="1101">
        <f>R35+R36+R37</f>
        <v>20321.811600000001</v>
      </c>
      <c r="S38" s="1101">
        <f>S35+S36+S37</f>
        <v>0</v>
      </c>
      <c r="T38" s="1101"/>
      <c r="U38" s="1101">
        <f>U35+U36+U37</f>
        <v>0</v>
      </c>
      <c r="V38" s="1100">
        <f>V35+V36+V37</f>
        <v>81</v>
      </c>
      <c r="W38" s="1101"/>
      <c r="X38" s="1101">
        <f>X35+X36+X37</f>
        <v>24038.369999999995</v>
      </c>
      <c r="Y38" s="1101">
        <f>Y35+Y36+Y37</f>
        <v>44360.181599999996</v>
      </c>
      <c r="Z38" s="1101">
        <f>Z35+Z36+Z37</f>
        <v>427165.66422600002</v>
      </c>
    </row>
    <row r="39" spans="1:26" s="1112" customFormat="1" ht="15.75">
      <c r="A39" s="250" t="s">
        <v>1712</v>
      </c>
      <c r="B39" s="1107">
        <v>1.1359999999999999</v>
      </c>
      <c r="C39" s="1108">
        <v>6816.53</v>
      </c>
      <c r="D39" s="1108">
        <f>B39*C39</f>
        <v>7743.5780799999993</v>
      </c>
      <c r="E39" s="462"/>
      <c r="F39" s="462"/>
      <c r="G39" s="462">
        <f>E39*F39</f>
        <v>0</v>
      </c>
      <c r="H39" s="462">
        <f>D39+G39</f>
        <v>7743.5780799999993</v>
      </c>
      <c r="I39" s="1109">
        <v>0</v>
      </c>
      <c r="J39" s="1110"/>
      <c r="K39" s="1108">
        <f>I39*J39</f>
        <v>0</v>
      </c>
      <c r="L39" s="462"/>
      <c r="M39" s="811"/>
      <c r="N39" s="462">
        <f>L39*M39</f>
        <v>0</v>
      </c>
      <c r="O39" s="462">
        <f>K39+N39</f>
        <v>0</v>
      </c>
      <c r="P39" s="1109">
        <v>0</v>
      </c>
      <c r="Q39" s="1111">
        <f>107.29*1.18</f>
        <v>126.6022</v>
      </c>
      <c r="R39" s="1108">
        <f>P39*Q39</f>
        <v>0</v>
      </c>
      <c r="S39" s="462"/>
      <c r="T39" s="462"/>
      <c r="U39" s="462">
        <f>S39*T39</f>
        <v>0</v>
      </c>
      <c r="V39" s="1109">
        <v>0</v>
      </c>
      <c r="W39" s="1111">
        <v>296.77</v>
      </c>
      <c r="X39" s="1108">
        <f>V39*W39</f>
        <v>0</v>
      </c>
      <c r="Y39" s="462">
        <f>R39+U39+X39</f>
        <v>0</v>
      </c>
      <c r="Z39" s="462">
        <f>H39+O39+Y39</f>
        <v>7743.5780799999993</v>
      </c>
    </row>
    <row r="40" spans="1:26" s="1112" customFormat="1" ht="15.75">
      <c r="A40" s="250" t="s">
        <v>1713</v>
      </c>
      <c r="B40" s="1107">
        <v>4.4260000000000002</v>
      </c>
      <c r="C40" s="1108">
        <v>6816.53</v>
      </c>
      <c r="D40" s="1108">
        <f>B40*C40</f>
        <v>30169.961780000001</v>
      </c>
      <c r="E40" s="462"/>
      <c r="F40" s="462"/>
      <c r="G40" s="462">
        <f>E40*F40</f>
        <v>0</v>
      </c>
      <c r="H40" s="462">
        <f>D40+G40</f>
        <v>30169.961780000001</v>
      </c>
      <c r="I40" s="1109">
        <v>0</v>
      </c>
      <c r="J40" s="1110"/>
      <c r="K40" s="1108">
        <f>I40*J40</f>
        <v>0</v>
      </c>
      <c r="L40" s="462"/>
      <c r="M40" s="462"/>
      <c r="N40" s="462">
        <f>L40*M40</f>
        <v>0</v>
      </c>
      <c r="O40" s="462">
        <f>K40+N40</f>
        <v>0</v>
      </c>
      <c r="P40" s="1109">
        <v>0</v>
      </c>
      <c r="Q40" s="1111">
        <f>107.29*1.18</f>
        <v>126.6022</v>
      </c>
      <c r="R40" s="1108">
        <f>P40*Q40</f>
        <v>0</v>
      </c>
      <c r="S40" s="462"/>
      <c r="T40" s="462"/>
      <c r="U40" s="462">
        <f>S40*T40</f>
        <v>0</v>
      </c>
      <c r="V40" s="1109">
        <v>0</v>
      </c>
      <c r="W40" s="1111">
        <v>296.77</v>
      </c>
      <c r="X40" s="1108">
        <f>V40*W40</f>
        <v>0</v>
      </c>
      <c r="Y40" s="462">
        <f>R40+U40+X40</f>
        <v>0</v>
      </c>
      <c r="Z40" s="462">
        <f>H40+O40+Y40</f>
        <v>30169.961780000001</v>
      </c>
    </row>
    <row r="41" spans="1:26" s="1112" customFormat="1" ht="16.7" customHeight="1">
      <c r="A41" s="250" t="s">
        <v>1714</v>
      </c>
      <c r="B41" s="1107">
        <v>7.4470000000000001</v>
      </c>
      <c r="C41" s="1108">
        <v>6816.53</v>
      </c>
      <c r="D41" s="1108">
        <f>B41*C41</f>
        <v>50762.698909999999</v>
      </c>
      <c r="E41" s="462"/>
      <c r="F41" s="462"/>
      <c r="G41" s="462">
        <f>E41*F41</f>
        <v>0</v>
      </c>
      <c r="H41" s="462">
        <f>D41+G41</f>
        <v>50762.698909999999</v>
      </c>
      <c r="I41" s="1107">
        <v>11.21</v>
      </c>
      <c r="J41" s="1110">
        <v>5322.72</v>
      </c>
      <c r="K41" s="1108">
        <f>I41*J41</f>
        <v>59667.691200000008</v>
      </c>
      <c r="L41" s="462"/>
      <c r="M41" s="1110"/>
      <c r="N41" s="462">
        <f>L41*M41</f>
        <v>0</v>
      </c>
      <c r="O41" s="462">
        <f>K41+N41</f>
        <v>59667.691200000008</v>
      </c>
      <c r="P41" s="1109">
        <v>51</v>
      </c>
      <c r="Q41" s="1111">
        <f>R41/P41</f>
        <v>126.60156862745099</v>
      </c>
      <c r="R41" s="1108">
        <v>6456.68</v>
      </c>
      <c r="S41" s="462"/>
      <c r="T41" s="462"/>
      <c r="U41" s="462">
        <f>S41*T41</f>
        <v>0</v>
      </c>
      <c r="V41" s="1113">
        <v>34</v>
      </c>
      <c r="W41" s="1111">
        <v>296.77</v>
      </c>
      <c r="X41" s="1108">
        <f>V41*W41</f>
        <v>10090.18</v>
      </c>
      <c r="Y41" s="462">
        <f>R41+U41+X41</f>
        <v>16546.86</v>
      </c>
      <c r="Z41" s="462">
        <f>H41+O41+Y41</f>
        <v>126977.25011000001</v>
      </c>
    </row>
    <row r="42" spans="1:26" s="1115" customFormat="1" ht="33.75" customHeight="1">
      <c r="A42" s="1102" t="s">
        <v>208</v>
      </c>
      <c r="B42" s="1114">
        <f>B39+B40+B41</f>
        <v>13.009</v>
      </c>
      <c r="C42" s="1100"/>
      <c r="D42" s="1101">
        <f>D39+D40+D41</f>
        <v>88676.238769999996</v>
      </c>
      <c r="E42" s="1101">
        <f>E39+E40+E41</f>
        <v>0</v>
      </c>
      <c r="F42" s="1101"/>
      <c r="G42" s="1101">
        <f>G39+G40+G41</f>
        <v>0</v>
      </c>
      <c r="H42" s="1101">
        <f>H39+H40+H41</f>
        <v>88676.238769999996</v>
      </c>
      <c r="I42" s="1100">
        <f>I39+I40+I41</f>
        <v>11.21</v>
      </c>
      <c r="J42" s="1100"/>
      <c r="K42" s="1101">
        <f>K39+K40+K41</f>
        <v>59667.691200000008</v>
      </c>
      <c r="L42" s="1101">
        <f>L39+L40+L41</f>
        <v>0</v>
      </c>
      <c r="M42" s="1101"/>
      <c r="N42" s="1101">
        <f>N39+N40+N41</f>
        <v>0</v>
      </c>
      <c r="O42" s="1101">
        <f>O39+O40+O41</f>
        <v>59667.691200000008</v>
      </c>
      <c r="P42" s="1100">
        <f>P39+P40+P41</f>
        <v>51</v>
      </c>
      <c r="Q42" s="1101"/>
      <c r="R42" s="1101">
        <f>R39+R40+R41</f>
        <v>6456.68</v>
      </c>
      <c r="S42" s="1101">
        <f>S39+S40+S41</f>
        <v>0</v>
      </c>
      <c r="T42" s="1101"/>
      <c r="U42" s="1101">
        <f>U39+U40+U41</f>
        <v>0</v>
      </c>
      <c r="V42" s="1100">
        <f>V39+V40+V41</f>
        <v>34</v>
      </c>
      <c r="W42" s="1101"/>
      <c r="X42" s="1101">
        <f>X39+X40+X41</f>
        <v>10090.18</v>
      </c>
      <c r="Y42" s="1101">
        <f>Y39+Y40+Y41</f>
        <v>16546.86</v>
      </c>
      <c r="Z42" s="1101">
        <f>Z39+Z40+Z41</f>
        <v>164890.78997000001</v>
      </c>
    </row>
    <row r="43" spans="1:26" s="1112" customFormat="1" ht="15.75">
      <c r="A43" s="250" t="s">
        <v>1715</v>
      </c>
      <c r="B43" s="1107">
        <f>7.118</f>
        <v>7.1180000000000003</v>
      </c>
      <c r="C43" s="1108">
        <v>6816.53</v>
      </c>
      <c r="D43" s="1108">
        <f>B43*C43</f>
        <v>48520.060539999999</v>
      </c>
      <c r="E43" s="462"/>
      <c r="F43" s="462"/>
      <c r="G43" s="462">
        <f>E43*F43</f>
        <v>0</v>
      </c>
      <c r="H43" s="462">
        <f>D43+G43</f>
        <v>48520.060539999999</v>
      </c>
      <c r="I43" s="1107">
        <v>48.6</v>
      </c>
      <c r="J43" s="1110">
        <v>5322.72</v>
      </c>
      <c r="K43" s="1108">
        <f>I43*J43</f>
        <v>258684.19200000001</v>
      </c>
      <c r="L43" s="462"/>
      <c r="M43" s="1110"/>
      <c r="N43" s="462">
        <f>L43*M43</f>
        <v>0</v>
      </c>
      <c r="O43" s="462">
        <f>K43+N43</f>
        <v>258684.19200000001</v>
      </c>
      <c r="P43" s="1109">
        <v>53</v>
      </c>
      <c r="Q43" s="1111">
        <f>R43/P43</f>
        <v>126.60150943396226</v>
      </c>
      <c r="R43" s="1108">
        <v>6709.88</v>
      </c>
      <c r="S43" s="462"/>
      <c r="T43" s="462"/>
      <c r="U43" s="462">
        <f>S43*T43</f>
        <v>0</v>
      </c>
      <c r="V43" s="1109">
        <v>34</v>
      </c>
      <c r="W43" s="1111">
        <v>296.77</v>
      </c>
      <c r="X43" s="1108">
        <f>V43*W43</f>
        <v>10090.18</v>
      </c>
      <c r="Y43" s="462">
        <f>R43+U43+X43</f>
        <v>16800.060000000001</v>
      </c>
      <c r="Z43" s="462">
        <f>H43+O43+Y43</f>
        <v>324004.31254000001</v>
      </c>
    </row>
    <row r="44" spans="1:26" s="1112" customFormat="1" ht="15.75">
      <c r="A44" s="252" t="s">
        <v>1716</v>
      </c>
      <c r="B44" s="1107">
        <v>6.8259999999999996</v>
      </c>
      <c r="C44" s="1108">
        <v>6816.53</v>
      </c>
      <c r="D44" s="1108">
        <f>B44*C44</f>
        <v>46529.633779999996</v>
      </c>
      <c r="E44" s="462"/>
      <c r="F44" s="462"/>
      <c r="G44" s="462">
        <f>E44*F44</f>
        <v>0</v>
      </c>
      <c r="H44" s="462">
        <f>D44+G44</f>
        <v>46529.633779999996</v>
      </c>
      <c r="I44" s="1107">
        <v>78.77</v>
      </c>
      <c r="J44" s="1110">
        <v>5322.72</v>
      </c>
      <c r="K44" s="1108">
        <f>I44*J44</f>
        <v>419270.6544</v>
      </c>
      <c r="L44" s="462"/>
      <c r="M44" s="1110"/>
      <c r="N44" s="462">
        <v>0</v>
      </c>
      <c r="O44" s="462">
        <f>K44+N44</f>
        <v>419270.6544</v>
      </c>
      <c r="P44" s="1109">
        <v>52</v>
      </c>
      <c r="Q44" s="1111">
        <f>R44/P44</f>
        <v>126.60153846153845</v>
      </c>
      <c r="R44" s="1108">
        <v>6583.28</v>
      </c>
      <c r="S44" s="462"/>
      <c r="T44" s="462"/>
      <c r="U44" s="462">
        <f>S44*T44</f>
        <v>0</v>
      </c>
      <c r="V44" s="1109">
        <v>52</v>
      </c>
      <c r="W44" s="1111">
        <v>296.77</v>
      </c>
      <c r="X44" s="1108">
        <f>V44*W44</f>
        <v>15432.039999999999</v>
      </c>
      <c r="Y44" s="462">
        <f>R44+U44+X44</f>
        <v>22015.32</v>
      </c>
      <c r="Z44" s="462">
        <f>H44+O44+Y44</f>
        <v>487815.60817999998</v>
      </c>
    </row>
    <row r="45" spans="1:26" s="1112" customFormat="1" ht="15.75">
      <c r="A45" s="252" t="s">
        <v>1717</v>
      </c>
      <c r="B45" s="1107">
        <v>4.0986444000000004</v>
      </c>
      <c r="C45" s="1108">
        <v>6816.53</v>
      </c>
      <c r="D45" s="1108">
        <f>B45*C45</f>
        <v>27938.532511932</v>
      </c>
      <c r="E45" s="462"/>
      <c r="F45" s="462"/>
      <c r="G45" s="462">
        <f>E45*F45</f>
        <v>0</v>
      </c>
      <c r="H45" s="462">
        <f>D45+G45</f>
        <v>27938.532511932</v>
      </c>
      <c r="I45" s="1107">
        <f>104.6</f>
        <v>104.6</v>
      </c>
      <c r="J45" s="1110">
        <v>5322.72</v>
      </c>
      <c r="K45" s="1108">
        <f>I45*J45</f>
        <v>556756.51199999999</v>
      </c>
      <c r="L45" s="462"/>
      <c r="M45" s="1110"/>
      <c r="N45" s="462">
        <f>L45*M45</f>
        <v>0</v>
      </c>
      <c r="O45" s="462">
        <f>K45+N45</f>
        <v>556756.51199999999</v>
      </c>
      <c r="P45" s="1109">
        <f>54</f>
        <v>54</v>
      </c>
      <c r="Q45" s="1111">
        <f>R45/P45</f>
        <v>126.6012962962963</v>
      </c>
      <c r="R45" s="1108">
        <v>6836.47</v>
      </c>
      <c r="S45" s="462"/>
      <c r="T45" s="462"/>
      <c r="U45" s="462">
        <f>S45*T45</f>
        <v>0</v>
      </c>
      <c r="V45" s="1113">
        <f>54</f>
        <v>54</v>
      </c>
      <c r="W45" s="1111">
        <v>296.77</v>
      </c>
      <c r="X45" s="1108">
        <f>V45*W45</f>
        <v>16025.579999999998</v>
      </c>
      <c r="Y45" s="462">
        <f>R45+U45+X45</f>
        <v>22862.05</v>
      </c>
      <c r="Z45" s="462">
        <f>H45+O45+Y45</f>
        <v>607557.09451193199</v>
      </c>
    </row>
    <row r="46" spans="1:26" s="1115" customFormat="1" ht="33.75" customHeight="1">
      <c r="A46" s="1102" t="s">
        <v>209</v>
      </c>
      <c r="B46" s="1114">
        <f>B43+B44+B45</f>
        <v>18.0426444</v>
      </c>
      <c r="C46" s="1100"/>
      <c r="D46" s="1101">
        <f>D43+D44+D45</f>
        <v>122988.226831932</v>
      </c>
      <c r="E46" s="1101">
        <f>E43+E44+E45</f>
        <v>0</v>
      </c>
      <c r="F46" s="1101"/>
      <c r="G46" s="1101">
        <f>G43+G44+G45</f>
        <v>0</v>
      </c>
      <c r="H46" s="1101">
        <f>H43+H44+H45</f>
        <v>122988.226831932</v>
      </c>
      <c r="I46" s="1100">
        <f>I43+I44+I45</f>
        <v>231.97</v>
      </c>
      <c r="J46" s="1100"/>
      <c r="K46" s="1101">
        <f>K43+K44+K45</f>
        <v>1234711.3584</v>
      </c>
      <c r="L46" s="1101">
        <f>L43+L44+L45</f>
        <v>0</v>
      </c>
      <c r="M46" s="1101"/>
      <c r="N46" s="1101">
        <f>N43+N44+N45</f>
        <v>0</v>
      </c>
      <c r="O46" s="1101">
        <f>O43+O44+O45</f>
        <v>1234711.3584</v>
      </c>
      <c r="P46" s="1100">
        <f>P43+P44+P45</f>
        <v>159</v>
      </c>
      <c r="Q46" s="1101"/>
      <c r="R46" s="1101">
        <f>R43+R44+R45</f>
        <v>20129.63</v>
      </c>
      <c r="S46" s="1101">
        <f>S43+S44+S45</f>
        <v>0</v>
      </c>
      <c r="T46" s="1101"/>
      <c r="U46" s="1101">
        <f>U43+U44+U45</f>
        <v>0</v>
      </c>
      <c r="V46" s="1100">
        <f>V43+V44+V45</f>
        <v>140</v>
      </c>
      <c r="W46" s="1101"/>
      <c r="X46" s="1101">
        <f>X43+X44+X45</f>
        <v>41547.800000000003</v>
      </c>
      <c r="Y46" s="1101">
        <f>Y43+Y44+Y45</f>
        <v>61677.430000000008</v>
      </c>
      <c r="Z46" s="1101">
        <f>Z43+Z44+Z45</f>
        <v>1419377.015231932</v>
      </c>
    </row>
    <row r="47" spans="1:26" s="1117" customFormat="1" ht="33.75" customHeight="1">
      <c r="A47" s="1103" t="s">
        <v>1527</v>
      </c>
      <c r="B47" s="1116">
        <f>B46+B42+B38+B34</f>
        <v>68.531644400000005</v>
      </c>
      <c r="C47" s="1104"/>
      <c r="D47" s="1105">
        <f>D46+D42+D38+D34</f>
        <v>467148.01000193198</v>
      </c>
      <c r="E47" s="1105">
        <f>E46+E42+E38+E34</f>
        <v>0</v>
      </c>
      <c r="F47" s="1105"/>
      <c r="G47" s="1105">
        <f>G46+G42+G38+G34</f>
        <v>0</v>
      </c>
      <c r="H47" s="1105">
        <f>H46+H42+H38+H34</f>
        <v>467148.01000193198</v>
      </c>
      <c r="I47" s="1104">
        <f>I46+I42+I38+I34</f>
        <v>581.26</v>
      </c>
      <c r="J47" s="1104"/>
      <c r="K47" s="1105">
        <f>K46+K42+K38+K34</f>
        <v>3026340.779168</v>
      </c>
      <c r="L47" s="1105">
        <f>L46+L42+L38+L34</f>
        <v>0</v>
      </c>
      <c r="M47" s="1105"/>
      <c r="N47" s="1105">
        <f>N46+N42+N38+N34</f>
        <v>0</v>
      </c>
      <c r="O47" s="1105">
        <f>O46+O42+O38+O34</f>
        <v>3026340.779168</v>
      </c>
      <c r="P47" s="1104">
        <f>P46+P42+P38+P34</f>
        <v>519</v>
      </c>
      <c r="Q47" s="1105"/>
      <c r="R47" s="1105">
        <f>R46+R42+R38+R34</f>
        <v>65518.644999999997</v>
      </c>
      <c r="S47" s="1105">
        <f>S46+S42+S38+S34</f>
        <v>0</v>
      </c>
      <c r="T47" s="1105"/>
      <c r="U47" s="1105">
        <f>U46+U42+U38+U34</f>
        <v>0</v>
      </c>
      <c r="V47" s="1104">
        <f>V46+V42+V38+V34</f>
        <v>363</v>
      </c>
      <c r="W47" s="1105"/>
      <c r="X47" s="1105">
        <f>X46+X42+X38+X34</f>
        <v>107727.51000000001</v>
      </c>
      <c r="Y47" s="1105">
        <f>Y46+Y42+Y38+Y34</f>
        <v>173246.155</v>
      </c>
      <c r="Z47" s="1105">
        <f>Z46+Z42+Z38+Z34</f>
        <v>3666734.944169932</v>
      </c>
    </row>
    <row r="48" spans="1:26" ht="51.75" hidden="1" customHeight="1">
      <c r="A48" s="1833" t="s">
        <v>460</v>
      </c>
      <c r="B48" s="1834"/>
      <c r="C48" s="1834"/>
      <c r="D48" s="1834"/>
      <c r="E48" s="1834"/>
      <c r="F48" s="1834"/>
      <c r="G48" s="1834"/>
      <c r="H48" s="1834"/>
      <c r="I48" s="1834"/>
      <c r="J48" s="1834"/>
      <c r="K48" s="1834"/>
      <c r="L48" s="1834"/>
      <c r="M48" s="1834"/>
      <c r="N48" s="1834"/>
      <c r="O48" s="1834"/>
      <c r="P48" s="1834"/>
      <c r="Q48" s="1834"/>
      <c r="R48" s="1834"/>
      <c r="S48" s="1834"/>
      <c r="T48" s="1834"/>
      <c r="U48" s="1834"/>
      <c r="V48" s="1834"/>
      <c r="W48" s="1834"/>
      <c r="X48" s="1834"/>
      <c r="Y48" s="1834"/>
      <c r="Z48" s="1835"/>
    </row>
    <row r="49" spans="1:26" ht="15.75" hidden="1" customHeight="1">
      <c r="A49" s="1818" t="s">
        <v>1689</v>
      </c>
      <c r="B49" s="1815" t="s">
        <v>1690</v>
      </c>
      <c r="C49" s="1816"/>
      <c r="D49" s="1816"/>
      <c r="E49" s="1816"/>
      <c r="F49" s="1816"/>
      <c r="G49" s="1817"/>
      <c r="H49" s="1818" t="s">
        <v>1918</v>
      </c>
      <c r="I49" s="1815" t="s">
        <v>1691</v>
      </c>
      <c r="J49" s="1816"/>
      <c r="K49" s="1816"/>
      <c r="L49" s="1816"/>
      <c r="M49" s="1816"/>
      <c r="N49" s="1817"/>
      <c r="O49" s="1818" t="s">
        <v>1692</v>
      </c>
      <c r="P49" s="1827" t="s">
        <v>1693</v>
      </c>
      <c r="Q49" s="1828"/>
      <c r="R49" s="1829"/>
      <c r="S49" s="1815" t="s">
        <v>1694</v>
      </c>
      <c r="T49" s="1816"/>
      <c r="U49" s="1816"/>
      <c r="V49" s="1816"/>
      <c r="W49" s="1816"/>
      <c r="X49" s="1817"/>
      <c r="Y49" s="1818" t="s">
        <v>1695</v>
      </c>
      <c r="Z49" s="1818" t="s">
        <v>1565</v>
      </c>
    </row>
    <row r="50" spans="1:26" ht="15.75" hidden="1" customHeight="1">
      <c r="A50" s="1819"/>
      <c r="B50" s="1815" t="s">
        <v>1696</v>
      </c>
      <c r="C50" s="1816"/>
      <c r="D50" s="1817"/>
      <c r="E50" s="1815" t="s">
        <v>1697</v>
      </c>
      <c r="F50" s="1816"/>
      <c r="G50" s="1817"/>
      <c r="H50" s="1819"/>
      <c r="I50" s="1821" t="s">
        <v>1691</v>
      </c>
      <c r="J50" s="1822"/>
      <c r="K50" s="1823"/>
      <c r="L50" s="1821" t="s">
        <v>1698</v>
      </c>
      <c r="M50" s="1822"/>
      <c r="N50" s="1823"/>
      <c r="O50" s="1819"/>
      <c r="P50" s="1830"/>
      <c r="Q50" s="1831"/>
      <c r="R50" s="1832"/>
      <c r="S50" s="1821" t="s">
        <v>1699</v>
      </c>
      <c r="T50" s="1822"/>
      <c r="U50" s="1823"/>
      <c r="V50" s="1821" t="s">
        <v>1700</v>
      </c>
      <c r="W50" s="1822"/>
      <c r="X50" s="1823"/>
      <c r="Y50" s="1819"/>
      <c r="Z50" s="1819"/>
    </row>
    <row r="51" spans="1:26" ht="55.5" hidden="1" customHeight="1">
      <c r="A51" s="1820"/>
      <c r="B51" s="462" t="s">
        <v>1701</v>
      </c>
      <c r="C51" s="462" t="s">
        <v>1702</v>
      </c>
      <c r="D51" s="462" t="s">
        <v>90</v>
      </c>
      <c r="E51" s="462" t="s">
        <v>1701</v>
      </c>
      <c r="F51" s="462" t="s">
        <v>1703</v>
      </c>
      <c r="G51" s="462" t="s">
        <v>1821</v>
      </c>
      <c r="H51" s="1820"/>
      <c r="I51" s="462" t="s">
        <v>1704</v>
      </c>
      <c r="J51" s="462" t="s">
        <v>1703</v>
      </c>
      <c r="K51" s="462" t="s">
        <v>90</v>
      </c>
      <c r="L51" s="462" t="s">
        <v>1705</v>
      </c>
      <c r="M51" s="462" t="s">
        <v>1703</v>
      </c>
      <c r="N51" s="462" t="s">
        <v>90</v>
      </c>
      <c r="O51" s="1820"/>
      <c r="P51" s="462" t="s">
        <v>1705</v>
      </c>
      <c r="Q51" s="462" t="s">
        <v>1703</v>
      </c>
      <c r="R51" s="462" t="s">
        <v>90</v>
      </c>
      <c r="S51" s="462" t="s">
        <v>1705</v>
      </c>
      <c r="T51" s="462" t="s">
        <v>1703</v>
      </c>
      <c r="U51" s="462" t="s">
        <v>90</v>
      </c>
      <c r="V51" s="462" t="s">
        <v>1705</v>
      </c>
      <c r="W51" s="462" t="s">
        <v>1703</v>
      </c>
      <c r="X51" s="462" t="s">
        <v>90</v>
      </c>
      <c r="Y51" s="1820"/>
      <c r="Z51" s="1820"/>
    </row>
    <row r="52" spans="1:26" ht="15.75" hidden="1" customHeight="1">
      <c r="A52" s="408">
        <v>1</v>
      </c>
      <c r="B52" s="408">
        <v>2</v>
      </c>
      <c r="C52" s="408">
        <v>3</v>
      </c>
      <c r="D52" s="408">
        <v>4</v>
      </c>
      <c r="E52" s="408">
        <v>5</v>
      </c>
      <c r="F52" s="408">
        <v>6</v>
      </c>
      <c r="G52" s="408">
        <v>7</v>
      </c>
      <c r="H52" s="408">
        <v>8</v>
      </c>
      <c r="I52" s="408">
        <v>9</v>
      </c>
      <c r="J52" s="408">
        <v>10</v>
      </c>
      <c r="K52" s="408">
        <v>11</v>
      </c>
      <c r="L52" s="408">
        <v>12</v>
      </c>
      <c r="M52" s="408">
        <v>13</v>
      </c>
      <c r="N52" s="408">
        <v>14</v>
      </c>
      <c r="O52" s="408">
        <v>15</v>
      </c>
      <c r="P52" s="408">
        <v>16</v>
      </c>
      <c r="Q52" s="408">
        <v>17</v>
      </c>
      <c r="R52" s="408">
        <v>18</v>
      </c>
      <c r="S52" s="408">
        <v>19</v>
      </c>
      <c r="T52" s="408">
        <v>20</v>
      </c>
      <c r="U52" s="408">
        <v>21</v>
      </c>
      <c r="V52" s="408">
        <v>22</v>
      </c>
      <c r="W52" s="408">
        <v>23</v>
      </c>
      <c r="X52" s="408">
        <v>24</v>
      </c>
      <c r="Y52" s="408">
        <v>25</v>
      </c>
      <c r="Z52" s="408">
        <v>26</v>
      </c>
    </row>
    <row r="53" spans="1:26" ht="15.75" hidden="1" customHeight="1">
      <c r="A53" s="250" t="s">
        <v>1706</v>
      </c>
      <c r="B53" s="462"/>
      <c r="C53" s="462"/>
      <c r="D53" s="462">
        <f>B53*C53</f>
        <v>0</v>
      </c>
      <c r="E53" s="462"/>
      <c r="F53" s="462"/>
      <c r="G53" s="462">
        <f>E53*F53</f>
        <v>0</v>
      </c>
      <c r="H53" s="462">
        <f>D53+G53</f>
        <v>0</v>
      </c>
      <c r="I53" s="462"/>
      <c r="J53" s="811"/>
      <c r="K53" s="462">
        <f>I53*J53</f>
        <v>0</v>
      </c>
      <c r="L53" s="462"/>
      <c r="M53" s="251"/>
      <c r="N53" s="462">
        <f>L53*M53</f>
        <v>0</v>
      </c>
      <c r="O53" s="462">
        <f>K53+N53</f>
        <v>0</v>
      </c>
      <c r="P53" s="462"/>
      <c r="Q53" s="811"/>
      <c r="R53" s="462">
        <f>P53*Q53</f>
        <v>0</v>
      </c>
      <c r="S53" s="462"/>
      <c r="T53" s="462"/>
      <c r="U53" s="462">
        <f>S53*T53</f>
        <v>0</v>
      </c>
      <c r="V53" s="462"/>
      <c r="W53" s="811"/>
      <c r="X53" s="462">
        <f>V53*W53</f>
        <v>0</v>
      </c>
      <c r="Y53" s="462">
        <f>R53+U53+X53</f>
        <v>0</v>
      </c>
      <c r="Z53" s="462">
        <f>H53+O53+Y53</f>
        <v>0</v>
      </c>
    </row>
    <row r="54" spans="1:26" ht="15.75" hidden="1" customHeight="1">
      <c r="A54" s="250" t="s">
        <v>1707</v>
      </c>
      <c r="B54" s="462"/>
      <c r="C54" s="462"/>
      <c r="D54" s="462">
        <f>B54*C54</f>
        <v>0</v>
      </c>
      <c r="E54" s="462"/>
      <c r="F54" s="462"/>
      <c r="G54" s="462">
        <f>E54*F54</f>
        <v>0</v>
      </c>
      <c r="H54" s="462">
        <f>D54+G54</f>
        <v>0</v>
      </c>
      <c r="I54" s="462"/>
      <c r="J54" s="811"/>
      <c r="K54" s="462">
        <f>I54*J54</f>
        <v>0</v>
      </c>
      <c r="L54" s="811"/>
      <c r="M54" s="811"/>
      <c r="N54" s="462">
        <f>L54*M54</f>
        <v>0</v>
      </c>
      <c r="O54" s="462">
        <f>K54+N54</f>
        <v>0</v>
      </c>
      <c r="P54" s="462"/>
      <c r="Q54" s="811"/>
      <c r="R54" s="462">
        <f>P54*Q54</f>
        <v>0</v>
      </c>
      <c r="S54" s="462"/>
      <c r="T54" s="462"/>
      <c r="U54" s="462">
        <f>S54*T54</f>
        <v>0</v>
      </c>
      <c r="V54" s="462"/>
      <c r="W54" s="811"/>
      <c r="X54" s="462">
        <f>V54*W54</f>
        <v>0</v>
      </c>
      <c r="Y54" s="462">
        <f>R54+U54+X54</f>
        <v>0</v>
      </c>
      <c r="Z54" s="462">
        <f>H54+O54+Y54</f>
        <v>0</v>
      </c>
    </row>
    <row r="55" spans="1:26" ht="15.75" hidden="1" customHeight="1">
      <c r="A55" s="250" t="s">
        <v>1708</v>
      </c>
      <c r="B55" s="462"/>
      <c r="C55" s="462"/>
      <c r="D55" s="462">
        <f>B55*C55</f>
        <v>0</v>
      </c>
      <c r="E55" s="462"/>
      <c r="F55" s="462"/>
      <c r="G55" s="462">
        <f>E55*F55</f>
        <v>0</v>
      </c>
      <c r="H55" s="462">
        <f>D55+G55</f>
        <v>0</v>
      </c>
      <c r="I55" s="462"/>
      <c r="J55" s="811"/>
      <c r="K55" s="462">
        <f>I55*J55</f>
        <v>0</v>
      </c>
      <c r="L55" s="811"/>
      <c r="M55" s="811"/>
      <c r="N55" s="462">
        <f>L55*M55</f>
        <v>0</v>
      </c>
      <c r="O55" s="462">
        <f>K55+N55</f>
        <v>0</v>
      </c>
      <c r="P55" s="462"/>
      <c r="Q55" s="811"/>
      <c r="R55" s="462">
        <f>P55*Q55</f>
        <v>0</v>
      </c>
      <c r="S55" s="462"/>
      <c r="T55" s="462"/>
      <c r="U55" s="462">
        <f>S55*T55</f>
        <v>0</v>
      </c>
      <c r="V55" s="811"/>
      <c r="W55" s="811"/>
      <c r="X55" s="462">
        <f>V55*W55</f>
        <v>0</v>
      </c>
      <c r="Y55" s="462">
        <f>R55+U55+X55</f>
        <v>0</v>
      </c>
      <c r="Z55" s="462">
        <f>H55+O55+Y55</f>
        <v>0</v>
      </c>
    </row>
    <row r="56" spans="1:26" ht="31.15" hidden="1" customHeight="1">
      <c r="A56" s="250" t="s">
        <v>206</v>
      </c>
      <c r="B56" s="462">
        <f>B53+B54+B55</f>
        <v>0</v>
      </c>
      <c r="C56" s="462"/>
      <c r="D56" s="462">
        <f>D53+D54+D55</f>
        <v>0</v>
      </c>
      <c r="E56" s="462">
        <f>E53+E54+E55</f>
        <v>0</v>
      </c>
      <c r="F56" s="462"/>
      <c r="G56" s="462">
        <f>G53+G54+G55</f>
        <v>0</v>
      </c>
      <c r="H56" s="462">
        <f>H53+H54+H55</f>
        <v>0</v>
      </c>
      <c r="I56" s="462">
        <f>I53+I54+I55</f>
        <v>0</v>
      </c>
      <c r="J56" s="462"/>
      <c r="K56" s="462">
        <f>K53+K54+K55</f>
        <v>0</v>
      </c>
      <c r="L56" s="462">
        <f>L53+L54+L55</f>
        <v>0</v>
      </c>
      <c r="M56" s="462"/>
      <c r="N56" s="462">
        <f>N53+N54+N55</f>
        <v>0</v>
      </c>
      <c r="O56" s="462">
        <f>O53+O54+O55</f>
        <v>0</v>
      </c>
      <c r="P56" s="462">
        <f>P53+P54+P55</f>
        <v>0</v>
      </c>
      <c r="Q56" s="462"/>
      <c r="R56" s="462">
        <f>R53+R54+R55</f>
        <v>0</v>
      </c>
      <c r="S56" s="462">
        <f>S53+S54+S55</f>
        <v>0</v>
      </c>
      <c r="T56" s="462"/>
      <c r="U56" s="462">
        <f>U53+U54+U55</f>
        <v>0</v>
      </c>
      <c r="V56" s="462">
        <f>V53+V54+V55</f>
        <v>0</v>
      </c>
      <c r="W56" s="462"/>
      <c r="X56" s="462">
        <f>X53+X54+X55</f>
        <v>0</v>
      </c>
      <c r="Y56" s="462">
        <f>Y53+Y54+Y55</f>
        <v>0</v>
      </c>
      <c r="Z56" s="462">
        <f>Z53+Z54+Z55</f>
        <v>0</v>
      </c>
    </row>
    <row r="57" spans="1:26" ht="15.75" hidden="1" customHeight="1">
      <c r="A57" s="250" t="s">
        <v>1709</v>
      </c>
      <c r="B57" s="462"/>
      <c r="C57" s="462"/>
      <c r="D57" s="462">
        <f>B57*C57</f>
        <v>0</v>
      </c>
      <c r="E57" s="462"/>
      <c r="F57" s="462"/>
      <c r="G57" s="462">
        <f>E57*F57</f>
        <v>0</v>
      </c>
      <c r="H57" s="462">
        <f>D57+G57</f>
        <v>0</v>
      </c>
      <c r="I57" s="462"/>
      <c r="J57" s="811"/>
      <c r="K57" s="462">
        <f>I57*J57</f>
        <v>0</v>
      </c>
      <c r="L57" s="462"/>
      <c r="M57" s="811"/>
      <c r="N57" s="462">
        <f>L57*M57</f>
        <v>0</v>
      </c>
      <c r="O57" s="462">
        <f>K57+N57</f>
        <v>0</v>
      </c>
      <c r="P57" s="462"/>
      <c r="Q57" s="811"/>
      <c r="R57" s="462">
        <f>P57*Q57</f>
        <v>0</v>
      </c>
      <c r="S57" s="462"/>
      <c r="T57" s="462"/>
      <c r="U57" s="462">
        <f>S57*T57</f>
        <v>0</v>
      </c>
      <c r="V57" s="462"/>
      <c r="W57" s="811"/>
      <c r="X57" s="462">
        <f>V57*W57</f>
        <v>0</v>
      </c>
      <c r="Y57" s="462">
        <f>R57+U57+X57</f>
        <v>0</v>
      </c>
      <c r="Z57" s="462">
        <f>H57+O57+Y57</f>
        <v>0</v>
      </c>
    </row>
    <row r="58" spans="1:26" ht="15.75" hidden="1" customHeight="1">
      <c r="A58" s="250" t="s">
        <v>1710</v>
      </c>
      <c r="B58" s="462"/>
      <c r="C58" s="462"/>
      <c r="D58" s="462">
        <f>B58*C58</f>
        <v>0</v>
      </c>
      <c r="E58" s="462"/>
      <c r="F58" s="462"/>
      <c r="G58" s="462">
        <f>E58*F58</f>
        <v>0</v>
      </c>
      <c r="H58" s="462">
        <f>D58+G58</f>
        <v>0</v>
      </c>
      <c r="I58" s="462"/>
      <c r="J58" s="811"/>
      <c r="K58" s="462">
        <f>I58*J58</f>
        <v>0</v>
      </c>
      <c r="L58" s="811"/>
      <c r="M58" s="811"/>
      <c r="N58" s="462">
        <f>L58*M58</f>
        <v>0</v>
      </c>
      <c r="O58" s="462">
        <f>K58+N58</f>
        <v>0</v>
      </c>
      <c r="P58" s="462"/>
      <c r="Q58" s="811"/>
      <c r="R58" s="462">
        <f>P58*Q58</f>
        <v>0</v>
      </c>
      <c r="S58" s="462"/>
      <c r="T58" s="462"/>
      <c r="U58" s="462">
        <f>S58*T58</f>
        <v>0</v>
      </c>
      <c r="V58" s="462"/>
      <c r="W58" s="811"/>
      <c r="X58" s="462">
        <f>V58*W58</f>
        <v>0</v>
      </c>
      <c r="Y58" s="462">
        <f>R58+U58+X58</f>
        <v>0</v>
      </c>
      <c r="Z58" s="462">
        <f>H58+O58+Y58</f>
        <v>0</v>
      </c>
    </row>
    <row r="59" spans="1:26" ht="15.75" hidden="1" customHeight="1">
      <c r="A59" s="250" t="s">
        <v>1711</v>
      </c>
      <c r="B59" s="462"/>
      <c r="C59" s="462"/>
      <c r="D59" s="462">
        <f>B59*C59</f>
        <v>0</v>
      </c>
      <c r="E59" s="462"/>
      <c r="F59" s="462"/>
      <c r="G59" s="462">
        <f>E59*F59</f>
        <v>0</v>
      </c>
      <c r="H59" s="462">
        <f>D59+G59</f>
        <v>0</v>
      </c>
      <c r="I59" s="462"/>
      <c r="J59" s="811"/>
      <c r="K59" s="462">
        <f>I59*J59</f>
        <v>0</v>
      </c>
      <c r="L59" s="811"/>
      <c r="M59" s="811"/>
      <c r="N59" s="462">
        <f>L59*M59</f>
        <v>0</v>
      </c>
      <c r="O59" s="462">
        <f>K59+N59</f>
        <v>0</v>
      </c>
      <c r="P59" s="462"/>
      <c r="Q59" s="811"/>
      <c r="R59" s="462">
        <f>P59*Q59</f>
        <v>0</v>
      </c>
      <c r="S59" s="811"/>
      <c r="T59" s="462"/>
      <c r="U59" s="462">
        <f>S59*T59</f>
        <v>0</v>
      </c>
      <c r="V59" s="811"/>
      <c r="W59" s="811"/>
      <c r="X59" s="462">
        <f>V59*W59</f>
        <v>0</v>
      </c>
      <c r="Y59" s="462">
        <f>R59+U59+X59</f>
        <v>0</v>
      </c>
      <c r="Z59" s="462">
        <f>H59+O59+Y59</f>
        <v>0</v>
      </c>
    </row>
    <row r="60" spans="1:26" ht="35.25" hidden="1" customHeight="1">
      <c r="A60" s="250" t="s">
        <v>207</v>
      </c>
      <c r="B60" s="462">
        <f>B57+B58+B59</f>
        <v>0</v>
      </c>
      <c r="C60" s="462"/>
      <c r="D60" s="462">
        <f>D57+D58+D59</f>
        <v>0</v>
      </c>
      <c r="E60" s="462">
        <v>0</v>
      </c>
      <c r="F60" s="462"/>
      <c r="G60" s="462">
        <f>G57+G58+G59</f>
        <v>0</v>
      </c>
      <c r="H60" s="462">
        <f>H57+H58+H59</f>
        <v>0</v>
      </c>
      <c r="I60" s="462">
        <f>I57+I58+I59</f>
        <v>0</v>
      </c>
      <c r="J60" s="462"/>
      <c r="K60" s="462">
        <f>K57+K58+K59</f>
        <v>0</v>
      </c>
      <c r="L60" s="462">
        <f>L57+L58+L59</f>
        <v>0</v>
      </c>
      <c r="M60" s="462"/>
      <c r="N60" s="462">
        <f>N57+N58+N59</f>
        <v>0</v>
      </c>
      <c r="O60" s="462">
        <f>O57+O58+O59</f>
        <v>0</v>
      </c>
      <c r="P60" s="462">
        <f>P57+P58+P59</f>
        <v>0</v>
      </c>
      <c r="Q60" s="462"/>
      <c r="R60" s="462">
        <f>R57+R58+R59</f>
        <v>0</v>
      </c>
      <c r="S60" s="462">
        <f>S57+S58+S59</f>
        <v>0</v>
      </c>
      <c r="T60" s="462"/>
      <c r="U60" s="462">
        <f>U57+U58+U59</f>
        <v>0</v>
      </c>
      <c r="V60" s="462">
        <f>V57+V58+V59</f>
        <v>0</v>
      </c>
      <c r="W60" s="462"/>
      <c r="X60" s="462">
        <f>X57+X58+X59</f>
        <v>0</v>
      </c>
      <c r="Y60" s="462">
        <f>Y57+Y58+Y59</f>
        <v>0</v>
      </c>
      <c r="Z60" s="462">
        <f>Z57+Z58+Z59</f>
        <v>0</v>
      </c>
    </row>
    <row r="61" spans="1:26" ht="15.75" hidden="1" customHeight="1">
      <c r="A61" s="250" t="s">
        <v>1712</v>
      </c>
      <c r="B61" s="462"/>
      <c r="C61" s="462"/>
      <c r="D61" s="462">
        <f>B61*C61</f>
        <v>0</v>
      </c>
      <c r="E61" s="462"/>
      <c r="F61" s="462"/>
      <c r="G61" s="462">
        <f>E61*F61</f>
        <v>0</v>
      </c>
      <c r="H61" s="462">
        <f>D61+G61</f>
        <v>0</v>
      </c>
      <c r="I61" s="462"/>
      <c r="J61" s="811"/>
      <c r="K61" s="462">
        <f>I61*J61</f>
        <v>0</v>
      </c>
      <c r="L61" s="462"/>
      <c r="M61" s="811"/>
      <c r="N61" s="462">
        <f>L61*M61</f>
        <v>0</v>
      </c>
      <c r="O61" s="462">
        <f>K61+N61</f>
        <v>0</v>
      </c>
      <c r="P61" s="462"/>
      <c r="Q61" s="811"/>
      <c r="R61" s="462">
        <f>P61*Q61</f>
        <v>0</v>
      </c>
      <c r="S61" s="462"/>
      <c r="T61" s="462"/>
      <c r="U61" s="462">
        <f>S61*T61</f>
        <v>0</v>
      </c>
      <c r="V61" s="462"/>
      <c r="W61" s="811"/>
      <c r="X61" s="462">
        <f>V61*W61</f>
        <v>0</v>
      </c>
      <c r="Y61" s="462">
        <f>R61+U61+X61</f>
        <v>0</v>
      </c>
      <c r="Z61" s="462">
        <f>H61+O61+Y61</f>
        <v>0</v>
      </c>
    </row>
    <row r="62" spans="1:26" ht="15.75" hidden="1" customHeight="1">
      <c r="A62" s="250" t="s">
        <v>1713</v>
      </c>
      <c r="B62" s="462"/>
      <c r="C62" s="462"/>
      <c r="D62" s="462">
        <f>B62*C62</f>
        <v>0</v>
      </c>
      <c r="E62" s="462"/>
      <c r="F62" s="462"/>
      <c r="G62" s="462">
        <f>E62*F62</f>
        <v>0</v>
      </c>
      <c r="H62" s="462">
        <f>D62+G62</f>
        <v>0</v>
      </c>
      <c r="I62" s="462"/>
      <c r="J62" s="811"/>
      <c r="K62" s="462">
        <f>I62*J62</f>
        <v>0</v>
      </c>
      <c r="L62" s="462"/>
      <c r="M62" s="462"/>
      <c r="N62" s="462">
        <f>L62*M62</f>
        <v>0</v>
      </c>
      <c r="O62" s="462">
        <f>K62+N62</f>
        <v>0</v>
      </c>
      <c r="P62" s="462"/>
      <c r="Q62" s="811"/>
      <c r="R62" s="462">
        <f>P62*Q62</f>
        <v>0</v>
      </c>
      <c r="S62" s="462"/>
      <c r="T62" s="462"/>
      <c r="U62" s="462">
        <f>S62*T62</f>
        <v>0</v>
      </c>
      <c r="V62" s="462"/>
      <c r="W62" s="811"/>
      <c r="X62" s="462">
        <f>V62*W62</f>
        <v>0</v>
      </c>
      <c r="Y62" s="462">
        <f>R62+U62+X62</f>
        <v>0</v>
      </c>
      <c r="Z62" s="462">
        <f>H62+O62+Y62</f>
        <v>0</v>
      </c>
    </row>
    <row r="63" spans="1:26" ht="15.75" hidden="1" customHeight="1">
      <c r="A63" s="250" t="s">
        <v>1714</v>
      </c>
      <c r="B63" s="462"/>
      <c r="C63" s="462"/>
      <c r="D63" s="462">
        <f>B63*C63</f>
        <v>0</v>
      </c>
      <c r="E63" s="462"/>
      <c r="F63" s="462"/>
      <c r="G63" s="462">
        <f>E63*F63</f>
        <v>0</v>
      </c>
      <c r="H63" s="462">
        <f>D63+G63</f>
        <v>0</v>
      </c>
      <c r="I63" s="462"/>
      <c r="J63" s="811"/>
      <c r="K63" s="462">
        <f>I63*J63</f>
        <v>0</v>
      </c>
      <c r="L63" s="462"/>
      <c r="M63" s="462"/>
      <c r="N63" s="462">
        <f>L63*M63</f>
        <v>0</v>
      </c>
      <c r="O63" s="462">
        <f>K63+N63</f>
        <v>0</v>
      </c>
      <c r="P63" s="462"/>
      <c r="Q63" s="811"/>
      <c r="R63" s="462">
        <f>P63*Q63</f>
        <v>0</v>
      </c>
      <c r="S63" s="462"/>
      <c r="T63" s="462"/>
      <c r="U63" s="462">
        <f>S63*T63</f>
        <v>0</v>
      </c>
      <c r="V63" s="811"/>
      <c r="W63" s="811"/>
      <c r="X63" s="462">
        <f>V63*W63</f>
        <v>0</v>
      </c>
      <c r="Y63" s="462">
        <f>R63+U63+X63</f>
        <v>0</v>
      </c>
      <c r="Z63" s="462">
        <f>H63+O63+Y63</f>
        <v>0</v>
      </c>
    </row>
    <row r="64" spans="1:26" ht="35.25" hidden="1" customHeight="1">
      <c r="A64" s="250" t="s">
        <v>208</v>
      </c>
      <c r="B64" s="462">
        <f>B61+B62+B63</f>
        <v>0</v>
      </c>
      <c r="C64" s="462"/>
      <c r="D64" s="462">
        <f>D61+D62+D63</f>
        <v>0</v>
      </c>
      <c r="E64" s="462">
        <f>E61+E62+E63</f>
        <v>0</v>
      </c>
      <c r="F64" s="462"/>
      <c r="G64" s="462">
        <f>G61+G62+G63</f>
        <v>0</v>
      </c>
      <c r="H64" s="462">
        <f>H61+H62+H63</f>
        <v>0</v>
      </c>
      <c r="I64" s="462">
        <f>I61+I62+I63</f>
        <v>0</v>
      </c>
      <c r="J64" s="462"/>
      <c r="K64" s="462">
        <f>K61+K62+K63</f>
        <v>0</v>
      </c>
      <c r="L64" s="251">
        <f>L61+L62+L63</f>
        <v>0</v>
      </c>
      <c r="M64" s="251"/>
      <c r="N64" s="462">
        <f>N61+N62+N63</f>
        <v>0</v>
      </c>
      <c r="O64" s="462">
        <f>O61+O62+O63</f>
        <v>0</v>
      </c>
      <c r="P64" s="462">
        <f>P62+P61+P63</f>
        <v>0</v>
      </c>
      <c r="Q64" s="462"/>
      <c r="R64" s="462">
        <f>R61+R62+R63</f>
        <v>0</v>
      </c>
      <c r="S64" s="462">
        <f>S61+S62+S63</f>
        <v>0</v>
      </c>
      <c r="T64" s="462"/>
      <c r="U64" s="462">
        <f>U61+U62+U63</f>
        <v>0</v>
      </c>
      <c r="V64" s="462">
        <f>V61+V62+V63</f>
        <v>0</v>
      </c>
      <c r="W64" s="462"/>
      <c r="X64" s="462">
        <f>X61+X62+X63</f>
        <v>0</v>
      </c>
      <c r="Y64" s="462">
        <f>Y61+Y62+Y63</f>
        <v>0</v>
      </c>
      <c r="Z64" s="462">
        <f>Z61+Z62+Z63</f>
        <v>0</v>
      </c>
    </row>
    <row r="65" spans="1:26" ht="15.75" hidden="1" customHeight="1">
      <c r="A65" s="250" t="s">
        <v>1715</v>
      </c>
      <c r="B65" s="462"/>
      <c r="C65" s="462"/>
      <c r="D65" s="462">
        <f>B65*C65</f>
        <v>0</v>
      </c>
      <c r="E65" s="462"/>
      <c r="F65" s="462"/>
      <c r="G65" s="462">
        <f>E65*F65</f>
        <v>0</v>
      </c>
      <c r="H65" s="462">
        <f>D65+G65</f>
        <v>0</v>
      </c>
      <c r="I65" s="462"/>
      <c r="J65" s="811"/>
      <c r="K65" s="462">
        <f>I65*J65</f>
        <v>0</v>
      </c>
      <c r="L65" s="462"/>
      <c r="M65" s="462"/>
      <c r="N65" s="462">
        <f>L65*M65</f>
        <v>0</v>
      </c>
      <c r="O65" s="462">
        <f>K65+N65</f>
        <v>0</v>
      </c>
      <c r="P65" s="462"/>
      <c r="Q65" s="811"/>
      <c r="R65" s="462">
        <f>P65*Q65</f>
        <v>0</v>
      </c>
      <c r="S65" s="462"/>
      <c r="T65" s="462"/>
      <c r="U65" s="462">
        <f>S65*T65</f>
        <v>0</v>
      </c>
      <c r="V65" s="462"/>
      <c r="W65" s="811"/>
      <c r="X65" s="462">
        <f>V65*W65</f>
        <v>0</v>
      </c>
      <c r="Y65" s="462">
        <f>R65+U65+X65</f>
        <v>0</v>
      </c>
      <c r="Z65" s="462">
        <f>H65+O65+Y65</f>
        <v>0</v>
      </c>
    </row>
    <row r="66" spans="1:26" ht="15.75" hidden="1" customHeight="1">
      <c r="A66" s="252" t="s">
        <v>1716</v>
      </c>
      <c r="B66" s="462"/>
      <c r="C66" s="462"/>
      <c r="D66" s="462">
        <f>B66*C66</f>
        <v>0</v>
      </c>
      <c r="E66" s="462"/>
      <c r="F66" s="462"/>
      <c r="G66" s="462">
        <f>E66*F66</f>
        <v>0</v>
      </c>
      <c r="H66" s="462">
        <f>D66+G66</f>
        <v>0</v>
      </c>
      <c r="I66" s="462"/>
      <c r="J66" s="811"/>
      <c r="K66" s="462">
        <f>I66*J66</f>
        <v>0</v>
      </c>
      <c r="L66" s="462"/>
      <c r="M66" s="462"/>
      <c r="N66" s="462">
        <v>0</v>
      </c>
      <c r="O66" s="462">
        <f>K66+N66</f>
        <v>0</v>
      </c>
      <c r="P66" s="462"/>
      <c r="Q66" s="811"/>
      <c r="R66" s="462">
        <f>P66*Q66</f>
        <v>0</v>
      </c>
      <c r="S66" s="462"/>
      <c r="T66" s="462"/>
      <c r="U66" s="462">
        <f>S66*T66</f>
        <v>0</v>
      </c>
      <c r="V66" s="462"/>
      <c r="W66" s="811"/>
      <c r="X66" s="462">
        <f>V66*W66</f>
        <v>0</v>
      </c>
      <c r="Y66" s="462">
        <f>R66+U66+X66</f>
        <v>0</v>
      </c>
      <c r="Z66" s="462">
        <f>H66+O66+Y66</f>
        <v>0</v>
      </c>
    </row>
    <row r="67" spans="1:26" ht="15.75" hidden="1" customHeight="1">
      <c r="A67" s="252" t="s">
        <v>1717</v>
      </c>
      <c r="B67" s="462"/>
      <c r="C67" s="462"/>
      <c r="D67" s="462">
        <f>B67*C67</f>
        <v>0</v>
      </c>
      <c r="E67" s="462"/>
      <c r="F67" s="462"/>
      <c r="G67" s="462">
        <f>E67*F67</f>
        <v>0</v>
      </c>
      <c r="H67" s="462">
        <f>D67+G67</f>
        <v>0</v>
      </c>
      <c r="I67" s="462"/>
      <c r="J67" s="811"/>
      <c r="K67" s="462">
        <f>I67*J67</f>
        <v>0</v>
      </c>
      <c r="L67" s="462"/>
      <c r="M67" s="462"/>
      <c r="N67" s="462">
        <f>L67*M67</f>
        <v>0</v>
      </c>
      <c r="O67" s="462">
        <f>K67+N67</f>
        <v>0</v>
      </c>
      <c r="P67" s="462"/>
      <c r="Q67" s="811"/>
      <c r="R67" s="462">
        <f>P67*Q67</f>
        <v>0</v>
      </c>
      <c r="S67" s="462"/>
      <c r="T67" s="462"/>
      <c r="U67" s="462">
        <f>S67*T67</f>
        <v>0</v>
      </c>
      <c r="V67" s="811"/>
      <c r="W67" s="811"/>
      <c r="X67" s="462">
        <f>V67*W67</f>
        <v>0</v>
      </c>
      <c r="Y67" s="462">
        <f>R67+U67+X67</f>
        <v>0</v>
      </c>
      <c r="Z67" s="462">
        <f>H67+O67+Y67</f>
        <v>0</v>
      </c>
    </row>
    <row r="68" spans="1:26" ht="33.75" hidden="1" customHeight="1">
      <c r="A68" s="252" t="s">
        <v>209</v>
      </c>
      <c r="B68" s="462">
        <f>B65+B66+B67</f>
        <v>0</v>
      </c>
      <c r="C68" s="462"/>
      <c r="D68" s="462">
        <f>D65+D66+D67</f>
        <v>0</v>
      </c>
      <c r="E68" s="462">
        <f>E65+E66+E67</f>
        <v>0</v>
      </c>
      <c r="F68" s="462"/>
      <c r="G68" s="462">
        <f>G65+G66+G67</f>
        <v>0</v>
      </c>
      <c r="H68" s="462">
        <f>H65+H66+H67</f>
        <v>0</v>
      </c>
      <c r="I68" s="462">
        <f>I65+I66+I67</f>
        <v>0</v>
      </c>
      <c r="J68" s="462"/>
      <c r="K68" s="462">
        <f>K65+K66+K67</f>
        <v>0</v>
      </c>
      <c r="L68" s="462">
        <f>L65+L66+L67</f>
        <v>0</v>
      </c>
      <c r="M68" s="462"/>
      <c r="N68" s="462">
        <f>N65+N66+N67</f>
        <v>0</v>
      </c>
      <c r="O68" s="462">
        <f>O65+O66+O67</f>
        <v>0</v>
      </c>
      <c r="P68" s="462">
        <f>P65+P66+P67</f>
        <v>0</v>
      </c>
      <c r="Q68" s="462"/>
      <c r="R68" s="462">
        <f>R65+R66+R67</f>
        <v>0</v>
      </c>
      <c r="S68" s="462">
        <f>S65+S66+S67</f>
        <v>0</v>
      </c>
      <c r="T68" s="462"/>
      <c r="U68" s="462">
        <f>U65+U66+U67</f>
        <v>0</v>
      </c>
      <c r="V68" s="462">
        <f>V65+V66+V67</f>
        <v>0</v>
      </c>
      <c r="W68" s="462"/>
      <c r="X68" s="462">
        <f>X65+X66+X67</f>
        <v>0</v>
      </c>
      <c r="Y68" s="462">
        <f>Y65+Y66+Y67</f>
        <v>0</v>
      </c>
      <c r="Z68" s="462">
        <f>Z65+Z66+Z67</f>
        <v>0</v>
      </c>
    </row>
    <row r="69" spans="1:26" ht="15.75" hidden="1" customHeight="1">
      <c r="A69" s="252" t="s">
        <v>1527</v>
      </c>
      <c r="B69" s="462">
        <f>B68+B64+B60+B56</f>
        <v>0</v>
      </c>
      <c r="C69" s="462"/>
      <c r="D69" s="462">
        <f>D68+D64+D60+D56</f>
        <v>0</v>
      </c>
      <c r="E69" s="462">
        <f>E68+E64+E60+E56</f>
        <v>0</v>
      </c>
      <c r="F69" s="462"/>
      <c r="G69" s="462">
        <f>G68+G64+G60+G56</f>
        <v>0</v>
      </c>
      <c r="H69" s="462">
        <f>H68+H64+H60+H56</f>
        <v>0</v>
      </c>
      <c r="I69" s="462">
        <f>I68+I64+I60+I56</f>
        <v>0</v>
      </c>
      <c r="J69" s="462"/>
      <c r="K69" s="462">
        <f>K68+K64+K60+K56</f>
        <v>0</v>
      </c>
      <c r="L69" s="462">
        <f>L68+L64+L60+L56</f>
        <v>0</v>
      </c>
      <c r="M69" s="462"/>
      <c r="N69" s="462">
        <f>N68+N64+N60+N56</f>
        <v>0</v>
      </c>
      <c r="O69" s="462">
        <f>O68+O64+O60+O56</f>
        <v>0</v>
      </c>
      <c r="P69" s="462">
        <f>P68+P64+P60+P56</f>
        <v>0</v>
      </c>
      <c r="Q69" s="462"/>
      <c r="R69" s="462">
        <f>R68+R64+R60+R56</f>
        <v>0</v>
      </c>
      <c r="S69" s="462">
        <f>S68+S64+S60+S56</f>
        <v>0</v>
      </c>
      <c r="T69" s="462"/>
      <c r="U69" s="462">
        <f>U68+U64+U60+U56</f>
        <v>0</v>
      </c>
      <c r="V69" s="462">
        <f>V68+V64+V60+V56</f>
        <v>0</v>
      </c>
      <c r="W69" s="462"/>
      <c r="X69" s="462">
        <f>X68+X64+X60+X56</f>
        <v>0</v>
      </c>
      <c r="Y69" s="462">
        <f>Y68+Y64+Y60+Y56</f>
        <v>0</v>
      </c>
      <c r="Z69" s="462">
        <f>Z68+Z64+Z60+Z56</f>
        <v>0</v>
      </c>
    </row>
    <row r="70" spans="1:26" ht="15.75" customHeight="1">
      <c r="A70" s="1095"/>
      <c r="B70" s="1096"/>
      <c r="C70" s="1097"/>
      <c r="I70" s="1096"/>
      <c r="J70" s="1097"/>
      <c r="L70" s="1096"/>
      <c r="M70" s="1097"/>
      <c r="O70" s="1096"/>
      <c r="P70" s="1096"/>
      <c r="Q70" s="1097"/>
      <c r="S70" s="1096"/>
      <c r="T70" s="1097"/>
      <c r="Y70" s="1096"/>
      <c r="Z70" s="1096"/>
    </row>
    <row r="71" spans="1:26" s="671" customFormat="1" ht="15.75">
      <c r="B71" s="669" t="s">
        <v>1077</v>
      </c>
      <c r="C71" s="670"/>
      <c r="D71" s="664"/>
      <c r="E71" s="670"/>
      <c r="F71" s="1812"/>
      <c r="G71" s="1812"/>
      <c r="H71" s="702"/>
      <c r="I71" s="1098"/>
      <c r="J71" s="1098"/>
      <c r="O71" s="1825" t="s">
        <v>1040</v>
      </c>
      <c r="P71" s="1825"/>
      <c r="Q71" s="1825"/>
    </row>
    <row r="72" spans="1:26" s="671" customFormat="1" ht="18.75" customHeight="1">
      <c r="B72" s="670"/>
      <c r="C72" s="670"/>
      <c r="D72" s="702"/>
      <c r="E72" s="670"/>
      <c r="F72" s="1812"/>
      <c r="G72" s="1812"/>
      <c r="H72" s="697"/>
      <c r="I72" s="1813" t="s">
        <v>1078</v>
      </c>
      <c r="J72" s="1813"/>
      <c r="K72" s="1099"/>
      <c r="L72" s="1099"/>
      <c r="M72" s="1099"/>
      <c r="N72" s="1099"/>
      <c r="O72" s="1824" t="s">
        <v>1079</v>
      </c>
      <c r="P72" s="1824"/>
      <c r="Q72" s="1824"/>
    </row>
    <row r="73" spans="1:26" s="671" customFormat="1" ht="31.5" customHeight="1">
      <c r="B73" s="1814" t="s">
        <v>1076</v>
      </c>
      <c r="C73" s="1814"/>
      <c r="D73" s="1814"/>
      <c r="E73" s="670"/>
      <c r="F73" s="664"/>
      <c r="G73" s="702"/>
      <c r="H73" s="702"/>
      <c r="I73" s="1826"/>
      <c r="J73" s="1826"/>
      <c r="K73" s="1099"/>
      <c r="L73" s="1099"/>
      <c r="M73" s="1099"/>
      <c r="N73" s="1099"/>
      <c r="O73" s="1825" t="s">
        <v>1245</v>
      </c>
      <c r="P73" s="1825"/>
      <c r="Q73" s="1825"/>
    </row>
    <row r="74" spans="1:26" s="671" customFormat="1" ht="16.7" customHeight="1">
      <c r="B74" s="670"/>
      <c r="C74" s="670"/>
      <c r="D74" s="702"/>
      <c r="E74" s="670"/>
      <c r="F74" s="1812"/>
      <c r="G74" s="1812"/>
      <c r="H74" s="697"/>
      <c r="I74" s="1813" t="s">
        <v>1078</v>
      </c>
      <c r="J74" s="1813"/>
      <c r="K74" s="1099"/>
      <c r="L74" s="1099"/>
      <c r="M74" s="1099"/>
      <c r="N74" s="1099"/>
      <c r="O74" s="1824" t="s">
        <v>1079</v>
      </c>
      <c r="P74" s="1824"/>
      <c r="Q74" s="1824"/>
    </row>
  </sheetData>
  <customSheetViews>
    <customSheetView guid="{CA0FB9E2-E541-4C74-BCFE-D75491869B36}" topLeftCell="A55">
      <selection activeCell="B73" sqref="B73:D73"/>
      <pageMargins left="0.39370078740157483" right="0" top="0.15748031496062992" bottom="0.15748031496062992" header="0.15748031496062992" footer="0.31496062992125984"/>
      <pageSetup paperSize="9" scale="57" fitToHeight="4" orientation="landscape" horizontalDpi="180" verticalDpi="180" r:id="rId1"/>
    </customSheetView>
    <customSheetView guid="{F10E3D8B-5892-420A-B023-68C6496D556B}">
      <selection activeCell="V6" sqref="V6:X6"/>
      <pageMargins left="0" right="0" top="0.15748031496062992" bottom="0.15748031496062992" header="0.15748031496062992" footer="0.31496062992125984"/>
      <pageSetup paperSize="9" scale="64" fitToHeight="4" orientation="landscape" horizontalDpi="180" verticalDpi="180" r:id="rId2"/>
    </customSheetView>
    <customSheetView guid="{FE7E58EF-FECC-4DF6-BB75-BA97138CB219}">
      <selection activeCell="V6" sqref="V6:X6"/>
      <pageMargins left="0" right="0" top="0.15748031496062992" bottom="0.15748031496062992" header="0.15748031496062992" footer="0.31496062992125984"/>
      <pageSetup paperSize="9" scale="64" fitToHeight="4" orientation="landscape" horizontalDpi="180" verticalDpi="180" r:id="rId3"/>
    </customSheetView>
    <customSheetView guid="{43136B00-66C6-4289-99D3-5EF20611F834}" showPageBreaks="1">
      <selection activeCell="F45" sqref="F45"/>
      <pageMargins left="0.39370078740157483" right="0" top="0.15748031496062992" bottom="0.15748031496062992" header="0.15748031496062992" footer="0.31496062992125984"/>
      <pageSetup paperSize="9" scale="57" fitToHeight="4" orientation="landscape" horizontalDpi="180" verticalDpi="180" r:id="rId4"/>
    </customSheetView>
    <customSheetView guid="{22820B9F-10DE-4629-AF3D-4AF98A9BCEDB}" topLeftCell="A55">
      <selection activeCell="C79" sqref="C79"/>
      <pageMargins left="0.39370078740157483" right="0" top="0.15748031496062992" bottom="0.15748031496062992" header="0.15748031496062992" footer="0.31496062992125984"/>
      <pageSetup paperSize="9" scale="57" fitToHeight="4" orientation="landscape" horizontalDpi="180" verticalDpi="180" r:id="rId5"/>
    </customSheetView>
  </customSheetViews>
  <mergeCells count="61">
    <mergeCell ref="A2:Z2"/>
    <mergeCell ref="A3:X3"/>
    <mergeCell ref="A4:Z4"/>
    <mergeCell ref="A5:A7"/>
    <mergeCell ref="B5:G5"/>
    <mergeCell ref="H5:H7"/>
    <mergeCell ref="B6:D6"/>
    <mergeCell ref="E6:G6"/>
    <mergeCell ref="S6:U6"/>
    <mergeCell ref="V6:X6"/>
    <mergeCell ref="I6:K6"/>
    <mergeCell ref="L6:N6"/>
    <mergeCell ref="P5:R6"/>
    <mergeCell ref="S5:X5"/>
    <mergeCell ref="I5:N5"/>
    <mergeCell ref="O5:O7"/>
    <mergeCell ref="A26:Z26"/>
    <mergeCell ref="Z5:Z7"/>
    <mergeCell ref="O27:O29"/>
    <mergeCell ref="I28:K28"/>
    <mergeCell ref="S27:X27"/>
    <mergeCell ref="B28:D28"/>
    <mergeCell ref="E28:G28"/>
    <mergeCell ref="S28:U28"/>
    <mergeCell ref="Z27:Z29"/>
    <mergeCell ref="Y5:Y7"/>
    <mergeCell ref="A49:A51"/>
    <mergeCell ref="A27:A29"/>
    <mergeCell ref="P49:R50"/>
    <mergeCell ref="I27:N27"/>
    <mergeCell ref="B27:G27"/>
    <mergeCell ref="H27:H29"/>
    <mergeCell ref="A48:Z48"/>
    <mergeCell ref="V28:X28"/>
    <mergeCell ref="L28:N28"/>
    <mergeCell ref="P27:R28"/>
    <mergeCell ref="S49:X49"/>
    <mergeCell ref="I49:N49"/>
    <mergeCell ref="L50:N50"/>
    <mergeCell ref="Z49:Z51"/>
    <mergeCell ref="Y49:Y51"/>
    <mergeCell ref="S50:U50"/>
    <mergeCell ref="O49:O51"/>
    <mergeCell ref="Y27:Y29"/>
    <mergeCell ref="V50:X50"/>
    <mergeCell ref="B49:G49"/>
    <mergeCell ref="H49:H51"/>
    <mergeCell ref="I50:K50"/>
    <mergeCell ref="O74:Q74"/>
    <mergeCell ref="I72:J72"/>
    <mergeCell ref="O71:Q71"/>
    <mergeCell ref="O72:Q72"/>
    <mergeCell ref="O73:Q73"/>
    <mergeCell ref="F74:G74"/>
    <mergeCell ref="I74:J74"/>
    <mergeCell ref="B73:D73"/>
    <mergeCell ref="B50:D50"/>
    <mergeCell ref="E50:G50"/>
    <mergeCell ref="F71:G71"/>
    <mergeCell ref="F72:G72"/>
    <mergeCell ref="I73:J73"/>
  </mergeCells>
  <phoneticPr fontId="116" type="noConversion"/>
  <pageMargins left="0.39370078740157483" right="0" top="0.15748031496062992" bottom="0.15748031496062992" header="0.15748031496062992" footer="0.31496062992125984"/>
  <pageSetup paperSize="9" scale="56" fitToHeight="4" orientation="landscape" horizontalDpi="180" verticalDpi="180" r:id="rId6"/>
</worksheet>
</file>

<file path=xl/worksheets/sheet28.xml><?xml version="1.0" encoding="utf-8"?>
<worksheet xmlns="http://schemas.openxmlformats.org/spreadsheetml/2006/main" xmlns:r="http://schemas.openxmlformats.org/officeDocument/2006/relationships">
  <dimension ref="A1:H17"/>
  <sheetViews>
    <sheetView view="pageBreakPreview" zoomScaleNormal="100" zoomScaleSheetLayoutView="100" workbookViewId="0">
      <selection activeCell="B8" sqref="B8"/>
    </sheetView>
  </sheetViews>
  <sheetFormatPr defaultRowHeight="15"/>
  <cols>
    <col min="1" max="1" width="5.28515625" style="1" customWidth="1"/>
    <col min="2" max="2" width="45.42578125" style="1" customWidth="1"/>
    <col min="3" max="3" width="15.7109375" style="1" customWidth="1"/>
    <col min="4" max="5" width="16.42578125" style="1" customWidth="1"/>
    <col min="6" max="6" width="14.140625" style="1" customWidth="1"/>
    <col min="7" max="16384" width="9.140625" style="1"/>
  </cols>
  <sheetData>
    <row r="1" spans="1:8" ht="15.75">
      <c r="A1" s="235"/>
      <c r="B1" s="235"/>
      <c r="C1" s="235"/>
      <c r="D1" s="235"/>
      <c r="E1" s="235"/>
      <c r="F1" s="209" t="s">
        <v>955</v>
      </c>
    </row>
    <row r="2" spans="1:8" ht="15" customHeight="1">
      <c r="A2" s="1841" t="s">
        <v>1381</v>
      </c>
      <c r="B2" s="1841"/>
      <c r="C2" s="1841"/>
      <c r="D2" s="1841"/>
      <c r="E2" s="1841"/>
      <c r="F2" s="1841"/>
    </row>
    <row r="3" spans="1:8" ht="15.75">
      <c r="A3" s="249"/>
      <c r="B3" s="249"/>
      <c r="C3" s="249"/>
      <c r="D3" s="249"/>
      <c r="E3" s="249"/>
      <c r="F3" s="234"/>
    </row>
    <row r="4" spans="1:8" ht="78.75">
      <c r="A4" s="334" t="s">
        <v>1255</v>
      </c>
      <c r="B4" s="334" t="s">
        <v>215</v>
      </c>
      <c r="C4" s="334" t="s">
        <v>1800</v>
      </c>
      <c r="D4" s="334" t="s">
        <v>1799</v>
      </c>
      <c r="E4" s="334" t="s">
        <v>1100</v>
      </c>
      <c r="F4" s="334" t="s">
        <v>1307</v>
      </c>
    </row>
    <row r="5" spans="1:8" ht="15.75">
      <c r="A5" s="229">
        <v>1</v>
      </c>
      <c r="B5" s="229">
        <v>2</v>
      </c>
      <c r="C5" s="229">
        <v>3</v>
      </c>
      <c r="D5" s="229">
        <v>4</v>
      </c>
      <c r="E5" s="229">
        <v>5</v>
      </c>
      <c r="F5" s="229">
        <v>6</v>
      </c>
    </row>
    <row r="6" spans="1:8" ht="15.75">
      <c r="A6" s="230">
        <v>1</v>
      </c>
      <c r="B6" s="243" t="s">
        <v>1802</v>
      </c>
      <c r="C6" s="232" t="s">
        <v>1296</v>
      </c>
      <c r="D6" s="232" t="s">
        <v>1296</v>
      </c>
      <c r="E6" s="232" t="s">
        <v>1296</v>
      </c>
      <c r="F6" s="232"/>
    </row>
    <row r="7" spans="1:8" ht="31.5">
      <c r="A7" s="230">
        <v>2</v>
      </c>
      <c r="B7" s="243" t="s">
        <v>1096</v>
      </c>
      <c r="C7" s="232" t="s">
        <v>1296</v>
      </c>
      <c r="D7" s="232" t="s">
        <v>1296</v>
      </c>
      <c r="E7" s="232" t="s">
        <v>1296</v>
      </c>
      <c r="F7" s="232"/>
    </row>
    <row r="8" spans="1:8" ht="15.75">
      <c r="A8" s="230">
        <v>3</v>
      </c>
      <c r="B8" s="243"/>
      <c r="C8" s="232"/>
      <c r="D8" s="232"/>
      <c r="E8" s="232"/>
      <c r="F8" s="232"/>
    </row>
    <row r="9" spans="1:8" ht="15.75">
      <c r="A9" s="230">
        <v>4</v>
      </c>
      <c r="B9" s="243"/>
      <c r="C9" s="232"/>
      <c r="D9" s="232"/>
      <c r="E9" s="232"/>
      <c r="F9" s="232"/>
    </row>
    <row r="10" spans="1:8" ht="15.75">
      <c r="A10" s="230">
        <v>5</v>
      </c>
      <c r="B10" s="229"/>
      <c r="C10" s="232"/>
      <c r="D10" s="232"/>
      <c r="E10" s="232"/>
      <c r="F10" s="232"/>
    </row>
    <row r="11" spans="1:8" ht="15.75">
      <c r="A11" s="230"/>
      <c r="B11" s="1842" t="s">
        <v>183</v>
      </c>
      <c r="C11" s="1843"/>
      <c r="D11" s="1843"/>
      <c r="E11" s="1844"/>
      <c r="F11" s="232"/>
    </row>
    <row r="14" spans="1:8" s="207" customFormat="1" ht="17.25" customHeight="1">
      <c r="B14" s="234" t="s">
        <v>1077</v>
      </c>
      <c r="C14" s="221"/>
      <c r="D14" s="507"/>
      <c r="E14" s="507"/>
      <c r="F14" s="512"/>
      <c r="G14" s="511"/>
      <c r="H14" s="510"/>
    </row>
    <row r="15" spans="1:8" s="207" customFormat="1" ht="17.25" customHeight="1">
      <c r="B15" s="221"/>
      <c r="C15" s="221"/>
      <c r="D15" s="217" t="s">
        <v>1078</v>
      </c>
      <c r="E15" s="1803" t="s">
        <v>1079</v>
      </c>
      <c r="F15" s="1803"/>
      <c r="G15" s="511"/>
      <c r="H15" s="511"/>
    </row>
    <row r="16" spans="1:8" s="207" customFormat="1" ht="17.25" customHeight="1">
      <c r="B16" s="505" t="s">
        <v>1076</v>
      </c>
      <c r="C16" s="221"/>
      <c r="D16" s="507"/>
      <c r="E16" s="507"/>
      <c r="F16" s="507"/>
      <c r="G16" s="510"/>
      <c r="H16" s="510"/>
    </row>
    <row r="17" spans="2:8" s="207" customFormat="1" ht="17.25" customHeight="1">
      <c r="B17" s="221"/>
      <c r="C17" s="221"/>
      <c r="D17" s="217" t="s">
        <v>1078</v>
      </c>
      <c r="E17" s="1803" t="s">
        <v>1079</v>
      </c>
      <c r="F17" s="1803"/>
      <c r="G17" s="511"/>
      <c r="H17" s="511"/>
    </row>
  </sheetData>
  <customSheetViews>
    <customSheetView guid="{CA0FB9E2-E541-4C74-BCFE-D75491869B36}" showPageBreaks="1" printArea="1" view="pageBreakPreview">
      <selection activeCell="B17" sqref="B17"/>
      <pageMargins left="0.70866141732283472" right="0.70866141732283472" top="0.74803149606299213" bottom="0.74803149606299213" header="0.31496062992125984" footer="0.31496062992125984"/>
      <pageSetup paperSize="9" scale="76" orientation="portrait" r:id="rId1"/>
    </customSheetView>
    <customSheetView guid="{F10E3D8B-5892-420A-B023-68C6496D556B}" showPageBreaks="1" printArea="1">
      <selection activeCell="F1" sqref="F1"/>
      <pageMargins left="0.70866141732283472" right="0.70866141732283472" top="0.74803149606299213" bottom="0.74803149606299213" header="0.31496062992125984" footer="0.31496062992125984"/>
      <pageSetup paperSize="9" scale="76" orientation="portrait" r:id="rId2"/>
    </customSheetView>
    <customSheetView guid="{FE7E58EF-FECC-4DF6-BB75-BA97138CB219}" showPageBreaks="1" printArea="1">
      <selection activeCell="F1" sqref="F1"/>
      <pageMargins left="0.70866141732283472" right="0.70866141732283472" top="0.74803149606299213" bottom="0.74803149606299213" header="0.31496062992125984" footer="0.31496062992125984"/>
      <pageSetup paperSize="9" scale="76" orientation="portrait" r:id="rId3"/>
    </customSheetView>
    <customSheetView guid="{43136B00-66C6-4289-99D3-5EF20611F834}" showPageBreaks="1" printArea="1" view="pageBreakPreview">
      <selection activeCell="A4" sqref="A4:F17"/>
      <pageMargins left="0.70866141732283472" right="0.70866141732283472" top="0.74803149606299213" bottom="0.74803149606299213" header="0.31496062992125984" footer="0.31496062992125984"/>
      <pageSetup paperSize="9" scale="76" orientation="portrait" r:id="rId4"/>
    </customSheetView>
    <customSheetView guid="{22820B9F-10DE-4629-AF3D-4AF98A9BCEDB}" showPageBreaks="1" printArea="1" view="pageBreakPreview">
      <selection activeCell="A13" sqref="A13:IV16"/>
      <pageMargins left="0.70866141732283472" right="0.70866141732283472" top="0.74803149606299213" bottom="0.74803149606299213" header="0.31496062992125984" footer="0.31496062992125984"/>
      <pageSetup paperSize="9" scale="76" orientation="portrait" r:id="rId5"/>
    </customSheetView>
  </customSheetViews>
  <mergeCells count="4">
    <mergeCell ref="E17:F17"/>
    <mergeCell ref="A2:F2"/>
    <mergeCell ref="B11:E11"/>
    <mergeCell ref="E15:F15"/>
  </mergeCells>
  <phoneticPr fontId="116" type="noConversion"/>
  <pageMargins left="0.70866141732283472" right="0.70866141732283472" top="0.74803149606299213" bottom="0.74803149606299213" header="0.31496062992125984" footer="0.31496062992125984"/>
  <pageSetup paperSize="9" scale="76" orientation="portrait" r:id="rId6"/>
</worksheet>
</file>

<file path=xl/worksheets/sheet29.xml><?xml version="1.0" encoding="utf-8"?>
<worksheet xmlns="http://schemas.openxmlformats.org/spreadsheetml/2006/main" xmlns:r="http://schemas.openxmlformats.org/officeDocument/2006/relationships">
  <sheetPr>
    <tabColor rgb="FFFF0000"/>
  </sheetPr>
  <dimension ref="A1:H32"/>
  <sheetViews>
    <sheetView view="pageBreakPreview" topLeftCell="A23" zoomScale="95" zoomScaleNormal="100" zoomScaleSheetLayoutView="95" workbookViewId="0">
      <selection activeCell="E24" sqref="E24"/>
    </sheetView>
  </sheetViews>
  <sheetFormatPr defaultRowHeight="15"/>
  <cols>
    <col min="1" max="1" width="4.42578125" style="667" bestFit="1" customWidth="1"/>
    <col min="2" max="2" width="48.28515625" style="667" customWidth="1"/>
    <col min="3" max="3" width="29.42578125" style="667" customWidth="1"/>
    <col min="4" max="4" width="24" style="713" customWidth="1"/>
    <col min="5" max="5" width="14.5703125" style="667" customWidth="1"/>
    <col min="6" max="16384" width="9.140625" style="667"/>
  </cols>
  <sheetData>
    <row r="1" spans="1:7" s="606" customFormat="1" ht="15.75">
      <c r="D1" s="785" t="s">
        <v>956</v>
      </c>
    </row>
    <row r="2" spans="1:7" s="784" customFormat="1" ht="33" hidden="1" customHeight="1">
      <c r="A2" s="669" t="s">
        <v>279</v>
      </c>
      <c r="B2" s="669"/>
      <c r="C2" s="669"/>
      <c r="D2" s="669"/>
      <c r="E2" s="669"/>
      <c r="F2" s="669"/>
      <c r="G2" s="669"/>
    </row>
    <row r="3" spans="1:7" s="784" customFormat="1" ht="15.75" hidden="1">
      <c r="A3" s="669"/>
      <c r="B3" s="669"/>
      <c r="C3" s="669"/>
      <c r="D3" s="669"/>
      <c r="E3" s="669"/>
      <c r="F3" s="669"/>
      <c r="G3" s="669"/>
    </row>
    <row r="4" spans="1:7" s="784" customFormat="1" ht="27" hidden="1" customHeight="1">
      <c r="A4" s="669" t="s">
        <v>274</v>
      </c>
      <c r="B4" s="669"/>
      <c r="C4" s="669"/>
      <c r="D4" s="669"/>
      <c r="E4" s="669"/>
      <c r="F4" s="669"/>
      <c r="G4" s="669"/>
    </row>
    <row r="5" spans="1:7" s="606" customFormat="1" ht="15.75">
      <c r="D5" s="785"/>
    </row>
    <row r="6" spans="1:7" s="606" customFormat="1" ht="33.75" customHeight="1">
      <c r="A6" s="1509" t="s">
        <v>1382</v>
      </c>
      <c r="B6" s="1509"/>
      <c r="C6" s="1509"/>
      <c r="D6" s="1509"/>
    </row>
    <row r="7" spans="1:7" s="606" customFormat="1" ht="33" customHeight="1">
      <c r="A7" s="1845" t="s">
        <v>749</v>
      </c>
      <c r="B7" s="1845"/>
      <c r="C7" s="1845"/>
      <c r="D7" s="1845"/>
    </row>
    <row r="8" spans="1:7" s="795" customFormat="1" ht="31.5">
      <c r="A8" s="268" t="s">
        <v>1267</v>
      </c>
      <c r="B8" s="268" t="s">
        <v>216</v>
      </c>
      <c r="C8" s="318" t="s">
        <v>1718</v>
      </c>
      <c r="D8" s="704" t="s">
        <v>90</v>
      </c>
    </row>
    <row r="9" spans="1:7" s="795" customFormat="1" ht="15.75">
      <c r="A9" s="268">
        <v>1</v>
      </c>
      <c r="B9" s="268">
        <v>2</v>
      </c>
      <c r="C9" s="318">
        <v>3</v>
      </c>
      <c r="D9" s="706">
        <v>4</v>
      </c>
    </row>
    <row r="10" spans="1:7" s="606" customFormat="1" ht="18" customHeight="1">
      <c r="A10" s="707">
        <v>1</v>
      </c>
      <c r="B10" s="796" t="s">
        <v>1802</v>
      </c>
      <c r="C10" s="616" t="s">
        <v>1296</v>
      </c>
      <c r="D10" s="797"/>
    </row>
    <row r="11" spans="1:7" s="606" customFormat="1" ht="33" customHeight="1">
      <c r="A11" s="707">
        <f>A10+1</f>
        <v>2</v>
      </c>
      <c r="B11" s="796" t="s">
        <v>1096</v>
      </c>
      <c r="C11" s="616" t="s">
        <v>1296</v>
      </c>
      <c r="D11" s="797"/>
    </row>
    <row r="12" spans="1:7" s="606" customFormat="1" ht="33" customHeight="1">
      <c r="A12" s="707">
        <f t="shared" ref="A12:A24" si="0">A11+1</f>
        <v>3</v>
      </c>
      <c r="B12" s="359" t="s">
        <v>275</v>
      </c>
      <c r="C12" s="616" t="s">
        <v>291</v>
      </c>
      <c r="D12" s="709">
        <f>3146.86*12+820.7*2</f>
        <v>39403.72</v>
      </c>
    </row>
    <row r="13" spans="1:7" s="606" customFormat="1" ht="32.25" customHeight="1">
      <c r="A13" s="707">
        <f t="shared" si="0"/>
        <v>4</v>
      </c>
      <c r="B13" s="359" t="s">
        <v>282</v>
      </c>
      <c r="C13" s="616" t="s">
        <v>283</v>
      </c>
      <c r="D13" s="709">
        <f>7035*4</f>
        <v>28140</v>
      </c>
    </row>
    <row r="14" spans="1:7" s="606" customFormat="1" ht="101.25" customHeight="1">
      <c r="A14" s="707">
        <f t="shared" si="0"/>
        <v>5</v>
      </c>
      <c r="B14" s="359" t="s">
        <v>284</v>
      </c>
      <c r="C14" s="616" t="s">
        <v>296</v>
      </c>
      <c r="D14" s="709">
        <v>34630</v>
      </c>
    </row>
    <row r="15" spans="1:7" ht="48.75" customHeight="1">
      <c r="A15" s="707">
        <f t="shared" si="0"/>
        <v>6</v>
      </c>
      <c r="B15" s="359" t="s">
        <v>289</v>
      </c>
      <c r="C15" s="616" t="s">
        <v>290</v>
      </c>
      <c r="D15" s="709">
        <f>624*2+1229*1+1267*2</f>
        <v>5011</v>
      </c>
    </row>
    <row r="16" spans="1:7" s="606" customFormat="1" ht="48.75" customHeight="1">
      <c r="A16" s="707">
        <f t="shared" si="0"/>
        <v>7</v>
      </c>
      <c r="B16" s="710" t="s">
        <v>276</v>
      </c>
      <c r="C16" s="616" t="s">
        <v>280</v>
      </c>
      <c r="D16" s="709">
        <f>3000*12*2</f>
        <v>72000</v>
      </c>
    </row>
    <row r="17" spans="1:8" s="606" customFormat="1" ht="21" customHeight="1">
      <c r="A17" s="707">
        <f t="shared" si="0"/>
        <v>8</v>
      </c>
      <c r="B17" s="359" t="s">
        <v>285</v>
      </c>
      <c r="C17" s="616" t="s">
        <v>286</v>
      </c>
      <c r="D17" s="709">
        <f>1600*3</f>
        <v>4800</v>
      </c>
    </row>
    <row r="18" spans="1:8" s="606" customFormat="1" ht="36" customHeight="1">
      <c r="A18" s="707">
        <f t="shared" si="0"/>
        <v>9</v>
      </c>
      <c r="B18" s="359" t="s">
        <v>287</v>
      </c>
      <c r="C18" s="616" t="s">
        <v>288</v>
      </c>
      <c r="D18" s="709">
        <f>1236.36*12</f>
        <v>14836.32</v>
      </c>
    </row>
    <row r="19" spans="1:8" s="606" customFormat="1" ht="96.75" customHeight="1">
      <c r="A19" s="707">
        <f t="shared" si="0"/>
        <v>10</v>
      </c>
      <c r="B19" s="359" t="s">
        <v>292</v>
      </c>
      <c r="C19" s="616" t="s">
        <v>300</v>
      </c>
      <c r="D19" s="709">
        <v>61823.49</v>
      </c>
    </row>
    <row r="20" spans="1:8" s="606" customFormat="1" ht="33.75" customHeight="1">
      <c r="A20" s="707">
        <f t="shared" si="0"/>
        <v>11</v>
      </c>
      <c r="B20" s="359" t="s">
        <v>277</v>
      </c>
      <c r="C20" s="616" t="s">
        <v>299</v>
      </c>
      <c r="D20" s="709">
        <v>11582</v>
      </c>
    </row>
    <row r="21" spans="1:8" s="606" customFormat="1" ht="48" customHeight="1">
      <c r="A21" s="707">
        <f t="shared" si="0"/>
        <v>12</v>
      </c>
      <c r="B21" s="359" t="s">
        <v>281</v>
      </c>
      <c r="C21" s="616" t="s">
        <v>298</v>
      </c>
      <c r="D21" s="709">
        <v>28870</v>
      </c>
    </row>
    <row r="22" spans="1:8" s="606" customFormat="1" ht="51" customHeight="1">
      <c r="A22" s="707">
        <f t="shared" si="0"/>
        <v>13</v>
      </c>
      <c r="B22" s="359" t="s">
        <v>278</v>
      </c>
      <c r="C22" s="616" t="s">
        <v>763</v>
      </c>
      <c r="D22" s="709">
        <f>30361.89-235.66</f>
        <v>30126.23</v>
      </c>
    </row>
    <row r="23" spans="1:8" s="606" customFormat="1" ht="59.25" customHeight="1">
      <c r="A23" s="707">
        <f t="shared" si="0"/>
        <v>14</v>
      </c>
      <c r="B23" s="359" t="s">
        <v>293</v>
      </c>
      <c r="C23" s="616" t="s">
        <v>301</v>
      </c>
      <c r="D23" s="709">
        <v>13493.3</v>
      </c>
    </row>
    <row r="24" spans="1:8" s="606" customFormat="1" ht="18" customHeight="1">
      <c r="A24" s="707">
        <f t="shared" si="0"/>
        <v>15</v>
      </c>
      <c r="B24" s="363" t="s">
        <v>745</v>
      </c>
      <c r="C24" s="616" t="s">
        <v>762</v>
      </c>
      <c r="D24" s="709">
        <v>53235.66</v>
      </c>
    </row>
    <row r="25" spans="1:8" s="606" customFormat="1" ht="15.75">
      <c r="A25" s="1846" t="s">
        <v>183</v>
      </c>
      <c r="B25" s="1847"/>
      <c r="C25" s="1848"/>
      <c r="D25" s="798">
        <f>SUM(D12:D24)</f>
        <v>397951.72</v>
      </c>
      <c r="F25" s="799"/>
    </row>
    <row r="27" spans="1:8" s="671" customFormat="1" ht="21" customHeight="1">
      <c r="B27" s="669" t="s">
        <v>1077</v>
      </c>
      <c r="C27" s="696"/>
      <c r="D27" s="664" t="s">
        <v>1040</v>
      </c>
      <c r="E27" s="664"/>
      <c r="F27" s="697"/>
      <c r="G27" s="697"/>
      <c r="H27" s="702"/>
    </row>
    <row r="28" spans="1:8" s="671" customFormat="1" ht="23.25" customHeight="1">
      <c r="B28" s="670"/>
      <c r="C28" s="698" t="s">
        <v>1078</v>
      </c>
      <c r="D28" s="800" t="s">
        <v>1079</v>
      </c>
      <c r="E28" s="702"/>
      <c r="F28" s="801"/>
      <c r="G28" s="697"/>
      <c r="H28" s="697"/>
    </row>
    <row r="29" spans="1:8" s="671" customFormat="1" ht="15.75">
      <c r="B29" s="700" t="s">
        <v>1076</v>
      </c>
      <c r="C29" s="670"/>
      <c r="D29" s="696" t="s">
        <v>1245</v>
      </c>
      <c r="E29" s="664"/>
      <c r="F29" s="664"/>
      <c r="G29" s="702"/>
      <c r="H29" s="702"/>
    </row>
    <row r="30" spans="1:8" s="671" customFormat="1" ht="15.75" customHeight="1">
      <c r="B30" s="670"/>
      <c r="C30" s="800" t="s">
        <v>1078</v>
      </c>
      <c r="D30" s="702" t="s">
        <v>1079</v>
      </c>
      <c r="E30" s="702"/>
      <c r="F30" s="801"/>
      <c r="G30" s="697"/>
      <c r="H30" s="697"/>
    </row>
    <row r="31" spans="1:8" s="622" customFormat="1"/>
    <row r="32" spans="1:8" s="622" customFormat="1"/>
  </sheetData>
  <mergeCells count="3">
    <mergeCell ref="A6:D6"/>
    <mergeCell ref="A7:D7"/>
    <mergeCell ref="A25:C25"/>
  </mergeCells>
  <phoneticPr fontId="116" type="noConversion"/>
  <pageMargins left="0.98425196850393704" right="0.19685039370078741" top="0.78740157480314965" bottom="0.39370078740157483" header="0.51181102362204722" footer="0.51181102362204722"/>
  <pageSetup paperSize="9" scale="83" orientation="portrait" r:id="rId1"/>
  <headerFooter alignWithMargins="0"/>
</worksheet>
</file>

<file path=xl/worksheets/sheet3.xml><?xml version="1.0" encoding="utf-8"?>
<worksheet xmlns="http://schemas.openxmlformats.org/spreadsheetml/2006/main" xmlns:r="http://schemas.openxmlformats.org/officeDocument/2006/relationships">
  <sheetPr codeName="Лист53">
    <tabColor rgb="FFFF0000"/>
  </sheetPr>
  <dimension ref="A1:J561"/>
  <sheetViews>
    <sheetView view="pageBreakPreview" topLeftCell="A25" zoomScale="90" zoomScaleNormal="80" zoomScaleSheetLayoutView="90" workbookViewId="0">
      <selection activeCell="J25" sqref="J25"/>
    </sheetView>
  </sheetViews>
  <sheetFormatPr defaultRowHeight="15"/>
  <cols>
    <col min="1" max="1" width="25" style="120" customWidth="1"/>
    <col min="2" max="2" width="26.140625" style="120" customWidth="1"/>
    <col min="3" max="3" width="6.28515625" style="120" customWidth="1"/>
    <col min="4" max="4" width="15" style="120" customWidth="1"/>
    <col min="5" max="5" width="14.28515625" style="120" customWidth="1"/>
    <col min="6" max="6" width="14" style="150" customWidth="1"/>
    <col min="7" max="7" width="12.42578125" style="120" customWidth="1"/>
    <col min="8" max="8" width="12.7109375" style="120" customWidth="1"/>
    <col min="9" max="9" width="12.5703125" style="120" customWidth="1"/>
    <col min="10" max="10" width="13.85546875" style="120" customWidth="1"/>
    <col min="11" max="16384" width="9.140625" style="120"/>
  </cols>
  <sheetData>
    <row r="1" spans="1:10" ht="129" customHeight="1">
      <c r="F1" s="1466" t="s">
        <v>270</v>
      </c>
      <c r="G1" s="1466"/>
      <c r="H1" s="1466"/>
      <c r="I1" s="1466"/>
      <c r="J1" s="1466"/>
    </row>
    <row r="2" spans="1:10" ht="24.75" customHeight="1">
      <c r="A2" s="121"/>
      <c r="B2" s="121"/>
      <c r="C2" s="121"/>
      <c r="D2" s="121"/>
      <c r="E2" s="121"/>
      <c r="F2" s="122"/>
      <c r="G2" s="121"/>
      <c r="H2" s="121"/>
      <c r="I2" s="121"/>
      <c r="J2" s="121"/>
    </row>
    <row r="3" spans="1:10" ht="25.5" customHeight="1">
      <c r="A3" s="1467" t="s">
        <v>1892</v>
      </c>
      <c r="B3" s="1467"/>
      <c r="C3" s="123"/>
      <c r="D3" s="121"/>
      <c r="E3" s="121"/>
      <c r="F3" s="122"/>
      <c r="G3" s="1468" t="s">
        <v>1845</v>
      </c>
      <c r="H3" s="1468"/>
      <c r="I3" s="1468"/>
      <c r="J3" s="1468"/>
    </row>
    <row r="4" spans="1:10" ht="25.5" customHeight="1">
      <c r="A4" s="1469" t="s">
        <v>1044</v>
      </c>
      <c r="B4" s="1469"/>
      <c r="C4" s="123"/>
      <c r="D4" s="121"/>
      <c r="E4" s="121"/>
      <c r="F4" s="122"/>
      <c r="G4" s="1469" t="s">
        <v>1039</v>
      </c>
      <c r="H4" s="1469"/>
      <c r="I4" s="1469"/>
      <c r="J4" s="1469"/>
    </row>
    <row r="5" spans="1:10" ht="37.5" customHeight="1">
      <c r="A5" s="1473" t="s">
        <v>1893</v>
      </c>
      <c r="B5" s="1473"/>
      <c r="C5" s="123"/>
      <c r="D5" s="121"/>
      <c r="E5" s="121"/>
      <c r="F5" s="122"/>
      <c r="G5" s="1473" t="s">
        <v>1041</v>
      </c>
      <c r="H5" s="1473"/>
      <c r="I5" s="1473"/>
      <c r="J5" s="1473"/>
    </row>
    <row r="6" spans="1:10" ht="63.4" customHeight="1">
      <c r="A6" s="1469" t="s">
        <v>1045</v>
      </c>
      <c r="B6" s="1469"/>
      <c r="C6" s="125"/>
      <c r="D6" s="141"/>
      <c r="E6" s="141"/>
      <c r="F6" s="129"/>
      <c r="G6" s="1469" t="s">
        <v>1043</v>
      </c>
      <c r="H6" s="1469"/>
      <c r="I6" s="1469"/>
      <c r="J6" s="1469"/>
    </row>
    <row r="7" spans="1:10" ht="33.75" customHeight="1">
      <c r="A7" s="1473" t="s">
        <v>1895</v>
      </c>
      <c r="B7" s="1473"/>
      <c r="C7" s="123"/>
      <c r="D7" s="121"/>
      <c r="E7" s="121"/>
      <c r="F7" s="122"/>
      <c r="G7" s="1473" t="s">
        <v>1896</v>
      </c>
      <c r="H7" s="1473"/>
      <c r="I7" s="1473"/>
      <c r="J7" s="1473"/>
    </row>
    <row r="8" spans="1:10" ht="27.75" customHeight="1">
      <c r="A8" s="124"/>
      <c r="B8" s="573" t="s">
        <v>1046</v>
      </c>
      <c r="C8" s="125"/>
      <c r="D8" s="121"/>
      <c r="E8" s="121"/>
      <c r="F8" s="122"/>
      <c r="G8" s="126"/>
      <c r="H8" s="126"/>
      <c r="I8" s="1477" t="s">
        <v>1040</v>
      </c>
      <c r="J8" s="1477"/>
    </row>
    <row r="9" spans="1:10" ht="26.25" customHeight="1">
      <c r="A9" s="127" t="s">
        <v>1846</v>
      </c>
      <c r="B9" s="128" t="s">
        <v>1847</v>
      </c>
      <c r="C9" s="129"/>
      <c r="D9" s="121"/>
      <c r="E9" s="121"/>
      <c r="F9" s="122"/>
      <c r="G9" s="130" t="s">
        <v>1846</v>
      </c>
      <c r="H9" s="131"/>
      <c r="I9" s="1468" t="s">
        <v>1847</v>
      </c>
      <c r="J9" s="1468"/>
    </row>
    <row r="10" spans="1:10" ht="27.75" customHeight="1">
      <c r="A10" s="1478" t="s">
        <v>1897</v>
      </c>
      <c r="B10" s="1478"/>
      <c r="C10" s="123"/>
      <c r="D10" s="121"/>
      <c r="E10" s="121"/>
      <c r="F10" s="122"/>
      <c r="G10" s="1478" t="s">
        <v>1897</v>
      </c>
      <c r="H10" s="1478"/>
      <c r="I10" s="1478"/>
      <c r="J10" s="1478"/>
    </row>
    <row r="11" spans="1:10" ht="18.75" customHeight="1">
      <c r="A11" s="132"/>
      <c r="B11" s="132"/>
      <c r="C11" s="123"/>
      <c r="D11" s="121"/>
      <c r="E11" s="121"/>
      <c r="F11" s="122"/>
      <c r="G11" s="132"/>
      <c r="H11" s="132"/>
      <c r="I11" s="132"/>
      <c r="J11" s="132"/>
    </row>
    <row r="12" spans="1:10" ht="17.25" customHeight="1">
      <c r="A12" s="133"/>
      <c r="B12" s="134"/>
      <c r="C12" s="135"/>
      <c r="D12" s="121"/>
      <c r="E12" s="121"/>
      <c r="F12" s="122"/>
      <c r="G12" s="123"/>
      <c r="H12" s="123"/>
      <c r="I12" s="123"/>
      <c r="J12" s="123"/>
    </row>
    <row r="13" spans="1:10" ht="18.75" customHeight="1">
      <c r="A13" s="136"/>
      <c r="B13" s="137"/>
      <c r="C13" s="138"/>
      <c r="D13" s="121"/>
      <c r="E13" s="121"/>
      <c r="F13" s="122"/>
      <c r="G13" s="123"/>
      <c r="H13" s="123"/>
      <c r="I13" s="123"/>
      <c r="J13" s="123"/>
    </row>
    <row r="14" spans="1:10" ht="21" customHeight="1">
      <c r="A14" s="139"/>
      <c r="B14" s="137"/>
      <c r="C14" s="121"/>
      <c r="D14" s="121"/>
      <c r="E14" s="121"/>
      <c r="F14" s="122"/>
      <c r="G14" s="123"/>
      <c r="H14" s="123"/>
      <c r="I14" s="123"/>
      <c r="J14" s="123"/>
    </row>
    <row r="15" spans="1:10" ht="42.75" customHeight="1">
      <c r="A15" s="1463"/>
      <c r="B15" s="1463"/>
      <c r="C15" s="140"/>
      <c r="D15" s="121"/>
      <c r="E15" s="121"/>
      <c r="F15" s="122"/>
      <c r="G15" s="123"/>
      <c r="H15" s="123"/>
      <c r="I15" s="123"/>
      <c r="J15" s="123"/>
    </row>
    <row r="16" spans="1:10" ht="15.75" customHeight="1">
      <c r="A16" s="123"/>
      <c r="B16" s="123"/>
      <c r="C16" s="140"/>
      <c r="D16" s="121"/>
      <c r="E16" s="121"/>
      <c r="F16" s="122"/>
      <c r="G16" s="123"/>
      <c r="H16" s="123"/>
      <c r="I16" s="123"/>
      <c r="J16" s="123"/>
    </row>
    <row r="17" spans="1:10" ht="17.25" customHeight="1">
      <c r="A17" s="125"/>
      <c r="B17" s="135"/>
      <c r="C17" s="135"/>
      <c r="D17" s="121"/>
      <c r="E17" s="121"/>
      <c r="F17" s="122"/>
      <c r="G17" s="123"/>
      <c r="H17" s="123"/>
      <c r="I17" s="123"/>
      <c r="J17" s="123"/>
    </row>
    <row r="18" spans="1:10" ht="15" customHeight="1">
      <c r="A18" s="136"/>
      <c r="B18" s="136"/>
      <c r="C18" s="138"/>
      <c r="D18" s="121"/>
      <c r="E18" s="121"/>
      <c r="F18" s="122"/>
      <c r="G18" s="123"/>
      <c r="H18" s="123"/>
      <c r="I18" s="123"/>
      <c r="J18" s="123"/>
    </row>
    <row r="19" spans="1:10" ht="23.25" customHeight="1">
      <c r="A19" s="121"/>
      <c r="B19" s="121"/>
      <c r="C19" s="138"/>
      <c r="D19" s="138"/>
      <c r="E19" s="138"/>
      <c r="F19" s="122"/>
      <c r="G19" s="123"/>
      <c r="H19" s="123"/>
      <c r="I19" s="123"/>
      <c r="J19" s="123"/>
    </row>
    <row r="20" spans="1:10" ht="18.75">
      <c r="A20" s="121"/>
      <c r="B20" s="121"/>
      <c r="C20" s="141"/>
      <c r="D20" s="141"/>
      <c r="E20" s="141"/>
      <c r="F20" s="122"/>
      <c r="G20" s="121"/>
      <c r="H20" s="121"/>
      <c r="I20" s="121"/>
      <c r="J20" s="121"/>
    </row>
    <row r="21" spans="1:10" ht="18.75" customHeight="1">
      <c r="A21" s="1475" t="s">
        <v>1009</v>
      </c>
      <c r="B21" s="1475"/>
      <c r="C21" s="1475"/>
      <c r="D21" s="1475"/>
      <c r="E21" s="1475"/>
      <c r="F21" s="1475"/>
      <c r="G21" s="1475"/>
      <c r="H21" s="1475"/>
      <c r="I21" s="1475"/>
      <c r="J21" s="1475"/>
    </row>
    <row r="22" spans="1:10" ht="18.75" customHeight="1">
      <c r="A22" s="1476" t="s">
        <v>749</v>
      </c>
      <c r="B22" s="1476"/>
      <c r="C22" s="1476"/>
      <c r="D22" s="1476"/>
      <c r="E22" s="1476"/>
      <c r="F22" s="1476"/>
      <c r="G22" s="1476"/>
      <c r="H22" s="1476"/>
      <c r="I22" s="1476"/>
      <c r="J22" s="1476"/>
    </row>
    <row r="23" spans="1:10" ht="18.75">
      <c r="A23" s="601"/>
      <c r="B23" s="601"/>
      <c r="C23" s="1476" t="s">
        <v>128</v>
      </c>
      <c r="D23" s="1476"/>
      <c r="E23" s="1476"/>
      <c r="F23" s="1476"/>
      <c r="G23" s="1325"/>
      <c r="H23" s="1325"/>
      <c r="I23" s="1326"/>
      <c r="J23" s="1327" t="s">
        <v>1852</v>
      </c>
    </row>
    <row r="24" spans="1:10" ht="15.75" customHeight="1">
      <c r="A24" s="121"/>
      <c r="B24" s="121"/>
      <c r="C24" s="142"/>
      <c r="D24" s="142"/>
      <c r="E24" s="142"/>
      <c r="F24" s="142"/>
      <c r="G24" s="142"/>
      <c r="H24" s="142"/>
      <c r="I24" s="139" t="s">
        <v>1898</v>
      </c>
      <c r="J24" s="144"/>
    </row>
    <row r="25" spans="1:10" ht="18" customHeight="1">
      <c r="A25" s="121"/>
      <c r="B25" s="121"/>
      <c r="C25" s="1474" t="s">
        <v>129</v>
      </c>
      <c r="D25" s="1474"/>
      <c r="E25" s="1474"/>
      <c r="F25" s="1474"/>
      <c r="G25" s="142"/>
      <c r="H25" s="142"/>
      <c r="I25" s="139" t="s">
        <v>1856</v>
      </c>
      <c r="J25" s="1390">
        <v>43098</v>
      </c>
    </row>
    <row r="26" spans="1:10" ht="15.75" customHeight="1">
      <c r="A26" s="121"/>
      <c r="B26" s="121"/>
      <c r="C26" s="142"/>
      <c r="D26" s="142"/>
      <c r="E26" s="142"/>
      <c r="F26" s="142"/>
      <c r="G26" s="142"/>
      <c r="H26" s="142"/>
      <c r="I26" s="139"/>
      <c r="J26" s="144"/>
    </row>
    <row r="27" spans="1:10" ht="18.75">
      <c r="A27" s="121"/>
      <c r="B27" s="121"/>
      <c r="C27" s="121"/>
      <c r="D27" s="121"/>
      <c r="E27" s="121"/>
      <c r="F27" s="122"/>
      <c r="G27" s="121"/>
      <c r="H27" s="121"/>
      <c r="I27" s="139"/>
      <c r="J27" s="144"/>
    </row>
    <row r="28" spans="1:10" ht="23.25" customHeight="1">
      <c r="A28" s="1463" t="s">
        <v>1900</v>
      </c>
      <c r="B28" s="1463"/>
      <c r="C28" s="1463"/>
      <c r="D28" s="1470" t="s">
        <v>1042</v>
      </c>
      <c r="E28" s="1470"/>
      <c r="F28" s="1470"/>
      <c r="G28" s="1470"/>
      <c r="H28" s="1470"/>
      <c r="I28" s="139" t="s">
        <v>1858</v>
      </c>
      <c r="J28" s="144">
        <v>50323412</v>
      </c>
    </row>
    <row r="29" spans="1:10" ht="18" customHeight="1">
      <c r="A29" s="1463"/>
      <c r="B29" s="1463"/>
      <c r="C29" s="1463"/>
      <c r="D29" s="1470"/>
      <c r="E29" s="1470"/>
      <c r="F29" s="1470"/>
      <c r="G29" s="1470"/>
      <c r="H29" s="1470"/>
      <c r="I29" s="139"/>
      <c r="J29" s="145"/>
    </row>
    <row r="30" spans="1:10" ht="16.7" customHeight="1">
      <c r="A30" s="1463"/>
      <c r="B30" s="1463"/>
      <c r="C30" s="1463"/>
      <c r="D30" s="1470"/>
      <c r="E30" s="1470"/>
      <c r="F30" s="1470"/>
      <c r="G30" s="1470"/>
      <c r="H30" s="1470"/>
      <c r="I30" s="139"/>
      <c r="J30" s="145"/>
    </row>
    <row r="31" spans="1:10" ht="15" customHeight="1">
      <c r="A31" s="1463"/>
      <c r="B31" s="1463"/>
      <c r="C31" s="1463"/>
      <c r="D31" s="1470"/>
      <c r="E31" s="1470"/>
      <c r="F31" s="1470"/>
      <c r="G31" s="1470"/>
      <c r="H31" s="1470"/>
      <c r="I31" s="146"/>
      <c r="J31" s="145"/>
    </row>
    <row r="32" spans="1:10" ht="23.25" customHeight="1">
      <c r="A32" s="1472" t="s">
        <v>1901</v>
      </c>
      <c r="B32" s="1472"/>
      <c r="C32" s="1472"/>
      <c r="D32" s="121">
        <v>4225769</v>
      </c>
      <c r="E32" s="121"/>
      <c r="F32" s="141"/>
      <c r="G32" s="141"/>
      <c r="H32" s="141"/>
      <c r="I32" s="139"/>
      <c r="J32" s="147"/>
    </row>
    <row r="33" spans="1:10" ht="19.5" customHeight="1">
      <c r="A33" s="1472"/>
      <c r="B33" s="1472"/>
      <c r="C33" s="1472"/>
      <c r="D33" s="121"/>
      <c r="E33" s="121"/>
      <c r="F33" s="141"/>
      <c r="G33" s="141"/>
      <c r="H33" s="141"/>
      <c r="I33" s="148" t="s">
        <v>1868</v>
      </c>
      <c r="J33" s="147">
        <v>383</v>
      </c>
    </row>
    <row r="34" spans="1:10" ht="31.5" customHeight="1">
      <c r="A34" s="1472"/>
      <c r="B34" s="1472"/>
      <c r="C34" s="1472"/>
      <c r="D34" s="121"/>
      <c r="E34" s="121"/>
      <c r="F34" s="141"/>
      <c r="G34" s="141"/>
      <c r="H34" s="141"/>
      <c r="I34" s="141"/>
      <c r="J34" s="141"/>
    </row>
    <row r="35" spans="1:10" ht="15" customHeight="1">
      <c r="A35" s="139"/>
      <c r="B35" s="139"/>
      <c r="C35" s="139"/>
      <c r="D35" s="121"/>
      <c r="E35" s="121"/>
      <c r="F35" s="141"/>
      <c r="G35" s="141"/>
      <c r="H35" s="141"/>
      <c r="I35" s="141"/>
      <c r="J35" s="141"/>
    </row>
    <row r="36" spans="1:10" ht="15" customHeight="1">
      <c r="A36" s="139"/>
      <c r="B36" s="139"/>
      <c r="C36" s="132"/>
      <c r="D36" s="123"/>
      <c r="E36" s="123"/>
      <c r="F36" s="141"/>
      <c r="G36" s="141"/>
      <c r="H36" s="141"/>
      <c r="I36" s="141"/>
      <c r="J36" s="141"/>
    </row>
    <row r="37" spans="1:10" ht="22.5" customHeight="1">
      <c r="A37" s="1463" t="s">
        <v>1859</v>
      </c>
      <c r="B37" s="1463"/>
      <c r="C37" s="1463"/>
      <c r="D37" s="1470" t="s">
        <v>1047</v>
      </c>
      <c r="E37" s="1470"/>
      <c r="F37" s="1470"/>
      <c r="G37" s="1470"/>
      <c r="H37" s="1470"/>
      <c r="I37" s="129"/>
      <c r="J37" s="141"/>
    </row>
    <row r="38" spans="1:10" ht="17.25" customHeight="1">
      <c r="A38" s="139"/>
      <c r="B38" s="139"/>
      <c r="C38" s="139"/>
      <c r="D38" s="121"/>
      <c r="E38" s="121"/>
      <c r="F38" s="129"/>
      <c r="G38" s="129"/>
      <c r="H38" s="129"/>
      <c r="I38" s="141"/>
      <c r="J38" s="141"/>
    </row>
    <row r="39" spans="1:10" ht="21" customHeight="1">
      <c r="A39" s="1463" t="s">
        <v>1902</v>
      </c>
      <c r="B39" s="1463"/>
      <c r="C39" s="1463"/>
      <c r="D39" s="1471" t="s">
        <v>1048</v>
      </c>
      <c r="E39" s="1471"/>
      <c r="F39" s="1471"/>
      <c r="G39" s="1471"/>
      <c r="H39" s="141"/>
      <c r="I39" s="121"/>
      <c r="J39" s="141"/>
    </row>
    <row r="40" spans="1:10" ht="18" customHeight="1">
      <c r="A40" s="1463"/>
      <c r="B40" s="1463"/>
      <c r="C40" s="1463"/>
      <c r="D40" s="1471"/>
      <c r="E40" s="1471"/>
      <c r="F40" s="1471"/>
      <c r="G40" s="1471"/>
      <c r="H40" s="141"/>
      <c r="I40" s="121"/>
      <c r="J40" s="141"/>
    </row>
    <row r="41" spans="1:10" ht="14.25" customHeight="1">
      <c r="A41" s="1463"/>
      <c r="B41" s="1463"/>
      <c r="C41" s="1463"/>
      <c r="D41" s="121"/>
      <c r="E41" s="121"/>
      <c r="F41" s="141"/>
      <c r="G41" s="141"/>
      <c r="H41" s="141"/>
      <c r="I41" s="121"/>
      <c r="J41" s="141"/>
    </row>
    <row r="42" spans="1:10" ht="17.25" customHeight="1">
      <c r="A42" s="139"/>
      <c r="B42" s="139"/>
      <c r="C42" s="139"/>
      <c r="D42" s="121"/>
      <c r="E42" s="121"/>
      <c r="F42" s="141"/>
      <c r="G42" s="141"/>
      <c r="H42" s="141"/>
      <c r="I42" s="141"/>
      <c r="J42" s="141"/>
    </row>
    <row r="43" spans="1:10" ht="18.75" customHeight="1">
      <c r="A43" s="1463" t="s">
        <v>1903</v>
      </c>
      <c r="B43" s="1463"/>
      <c r="C43" s="1463"/>
      <c r="D43" s="1470" t="s">
        <v>1049</v>
      </c>
      <c r="E43" s="1470"/>
      <c r="F43" s="1470"/>
      <c r="G43" s="1470"/>
      <c r="H43" s="141"/>
      <c r="I43" s="141"/>
      <c r="J43" s="141"/>
    </row>
    <row r="44" spans="1:10" ht="12" customHeight="1">
      <c r="A44" s="1463"/>
      <c r="B44" s="1463"/>
      <c r="C44" s="1463"/>
      <c r="D44" s="1470"/>
      <c r="E44" s="1470"/>
      <c r="F44" s="1470"/>
      <c r="G44" s="1470"/>
      <c r="H44" s="141"/>
      <c r="I44" s="141"/>
      <c r="J44" s="141"/>
    </row>
    <row r="45" spans="1:10" ht="15" customHeight="1">
      <c r="A45" s="1463"/>
      <c r="B45" s="1463"/>
      <c r="C45" s="1463"/>
      <c r="D45" s="1470"/>
      <c r="E45" s="1470"/>
      <c r="F45" s="1470"/>
      <c r="G45" s="1470"/>
      <c r="H45" s="141"/>
      <c r="I45" s="141"/>
      <c r="J45" s="141"/>
    </row>
    <row r="46" spans="1:10" ht="13.15" customHeight="1">
      <c r="A46" s="139"/>
      <c r="B46" s="139"/>
      <c r="C46" s="139"/>
      <c r="D46" s="1470"/>
      <c r="E46" s="1470"/>
      <c r="F46" s="1470"/>
      <c r="G46" s="1470"/>
      <c r="H46" s="141"/>
      <c r="I46" s="141"/>
      <c r="J46" s="142"/>
    </row>
    <row r="47" spans="1:10" ht="12" customHeight="1">
      <c r="A47" s="1463" t="s">
        <v>1589</v>
      </c>
      <c r="B47" s="1463"/>
      <c r="C47" s="1463"/>
      <c r="D47" s="121"/>
      <c r="E47" s="121"/>
      <c r="F47" s="141"/>
      <c r="G47" s="141"/>
      <c r="H47" s="141"/>
      <c r="I47" s="141"/>
      <c r="J47" s="149"/>
    </row>
    <row r="48" spans="1:10" ht="12" customHeight="1">
      <c r="A48" s="1463"/>
      <c r="B48" s="1463"/>
      <c r="C48" s="1463"/>
      <c r="D48" s="121"/>
      <c r="E48" s="123"/>
      <c r="F48" s="141"/>
      <c r="G48" s="141"/>
      <c r="H48" s="141"/>
      <c r="I48" s="141"/>
      <c r="J48" s="123"/>
    </row>
    <row r="49" spans="1:10" ht="12" customHeight="1">
      <c r="A49" s="121"/>
      <c r="B49" s="121"/>
      <c r="C49" s="123"/>
      <c r="D49" s="123"/>
      <c r="E49" s="123"/>
      <c r="F49" s="141"/>
      <c r="G49" s="141"/>
      <c r="H49" s="141"/>
      <c r="I49" s="141"/>
      <c r="J49" s="123"/>
    </row>
    <row r="50" spans="1:10" ht="12" customHeight="1">
      <c r="A50" s="121"/>
      <c r="B50" s="121"/>
      <c r="C50" s="123"/>
      <c r="D50" s="123"/>
      <c r="E50" s="123"/>
      <c r="F50" s="141"/>
      <c r="G50" s="141"/>
      <c r="H50" s="141"/>
      <c r="I50" s="141"/>
      <c r="J50" s="123"/>
    </row>
    <row r="51" spans="1:10" ht="22.5" customHeight="1"/>
    <row r="52" spans="1:10" ht="24.75" customHeight="1"/>
    <row r="53" spans="1:10" ht="18" customHeight="1"/>
    <row r="54" spans="1:10" ht="13.5" customHeight="1"/>
    <row r="55" spans="1:10" ht="20.45" customHeight="1"/>
    <row r="56" spans="1:10" ht="13.15" customHeight="1"/>
    <row r="57" spans="1:10" ht="13.15" customHeight="1"/>
    <row r="58" spans="1:10" ht="55.5" customHeight="1"/>
    <row r="59" spans="1:10" ht="18.75" customHeight="1"/>
    <row r="60" spans="1:10" ht="36.75" customHeight="1"/>
    <row r="61" spans="1:10" ht="12" customHeight="1"/>
    <row r="62" spans="1:10" ht="53.25" customHeight="1"/>
    <row r="63" spans="1:10" ht="15" customHeight="1"/>
    <row r="64" spans="1:10" ht="51.75" customHeight="1"/>
    <row r="65" ht="15" customHeight="1"/>
    <row r="66" ht="52.7" customHeight="1"/>
    <row r="67" ht="15" customHeight="1"/>
    <row r="68" ht="33" customHeight="1"/>
    <row r="69" ht="15.75" customHeight="1"/>
    <row r="70" ht="40.5" customHeight="1"/>
    <row r="71" ht="15" customHeight="1"/>
    <row r="72" ht="15" customHeight="1"/>
    <row r="73" ht="15" customHeight="1"/>
    <row r="74" ht="15" customHeight="1"/>
    <row r="75" ht="61.5" customHeight="1"/>
    <row r="76" ht="15" customHeight="1"/>
    <row r="77" ht="15" customHeight="1"/>
    <row r="78" ht="17.25" customHeight="1"/>
    <row r="79" ht="15" customHeight="1"/>
    <row r="80" ht="30" customHeight="1"/>
    <row r="81" ht="15" customHeight="1"/>
    <row r="82" ht="45.75" customHeight="1"/>
    <row r="83" ht="50.25" customHeight="1"/>
    <row r="84" ht="49.5" customHeight="1"/>
    <row r="85" ht="15" customHeight="1"/>
    <row r="86" ht="15" customHeight="1"/>
    <row r="87" ht="15" customHeight="1"/>
    <row r="88" ht="30" customHeight="1"/>
    <row r="89" ht="15" customHeight="1"/>
    <row r="90" ht="15" customHeight="1"/>
    <row r="91" ht="15" customHeight="1"/>
    <row r="92" ht="15" customHeight="1"/>
    <row r="93" ht="32.25" customHeight="1"/>
    <row r="94" ht="30"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30" customHeight="1"/>
    <row r="107" ht="15" customHeight="1"/>
    <row r="108" ht="15" customHeight="1"/>
    <row r="109" ht="15" customHeight="1"/>
    <row r="110" ht="15" customHeight="1"/>
    <row r="111" ht="30" customHeight="1"/>
    <row r="112" ht="30" customHeight="1"/>
    <row r="113" ht="15" customHeight="1"/>
    <row r="114" ht="30" customHeight="1"/>
    <row r="115" ht="30" customHeight="1"/>
    <row r="116" ht="30" customHeight="1"/>
    <row r="117" ht="15" customHeight="1"/>
    <row r="118" ht="30" customHeight="1"/>
    <row r="119" ht="15" customHeight="1"/>
    <row r="120" ht="15" customHeight="1"/>
    <row r="121" ht="15" customHeight="1"/>
    <row r="122" ht="15" customHeight="1"/>
    <row r="123" ht="30" customHeight="1"/>
    <row r="124" ht="15" customHeight="1"/>
    <row r="125" ht="15" customHeight="1"/>
    <row r="126" ht="15" customHeight="1"/>
    <row r="127" ht="15" customHeight="1"/>
    <row r="128" ht="15" customHeight="1"/>
    <row r="129" ht="30" customHeight="1"/>
    <row r="130" ht="15" customHeight="1"/>
    <row r="131" ht="15" customHeight="1"/>
    <row r="132" ht="15" customHeight="1"/>
    <row r="133" ht="15" customHeight="1"/>
    <row r="134" ht="15" customHeight="1"/>
    <row r="135" ht="15" customHeight="1"/>
    <row r="136" ht="15" customHeight="1"/>
    <row r="137" ht="30" customHeight="1"/>
    <row r="138" ht="30" customHeight="1"/>
    <row r="139" ht="15" customHeight="1"/>
    <row r="140" ht="15" customHeight="1"/>
    <row r="141" ht="30" customHeight="1"/>
    <row r="142" ht="26.25" customHeight="1"/>
    <row r="143" ht="15" customHeight="1"/>
    <row r="144" ht="15" customHeight="1"/>
    <row r="145" ht="30" customHeight="1"/>
    <row r="146" ht="15" customHeight="1"/>
    <row r="147" ht="15" customHeight="1"/>
    <row r="148" ht="15" customHeight="1"/>
    <row r="149" ht="15" customHeight="1"/>
    <row r="150" ht="15" customHeight="1"/>
    <row r="151" ht="15" customHeight="1"/>
    <row r="152" ht="15" customHeight="1"/>
    <row r="153" ht="15" customHeight="1"/>
    <row r="154" ht="15" customHeight="1"/>
    <row r="155" ht="30"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30"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27.75" customHeight="1"/>
    <row r="185" s="151" customFormat="1" ht="14.25" customHeight="1"/>
    <row r="186" s="151" customFormat="1" ht="14.25" customHeight="1"/>
    <row r="187" s="151" customFormat="1" ht="14.25" customHeight="1"/>
    <row r="188" s="151" customFormat="1" ht="14.25" customHeight="1"/>
    <row r="189" ht="34.700000000000003" customHeight="1"/>
    <row r="190" ht="15.75" customHeight="1"/>
    <row r="191" ht="23.25" customHeight="1"/>
    <row r="192" ht="159" customHeight="1"/>
    <row r="193" ht="49.5" customHeight="1"/>
    <row r="194" ht="18" customHeight="1"/>
    <row r="195" s="152" customFormat="1" ht="30" customHeight="1"/>
    <row r="196" s="152" customFormat="1" ht="30" customHeight="1"/>
    <row r="197" s="152" customFormat="1" ht="30" customHeight="1"/>
    <row r="198" s="152" customFormat="1" ht="30" customHeight="1"/>
    <row r="199" s="152" customFormat="1" ht="30" customHeight="1"/>
    <row r="200" s="152" customFormat="1" ht="30" customHeight="1"/>
    <row r="201" s="152" customFormat="1" ht="30" customHeight="1"/>
    <row r="202" s="152" customFormat="1" ht="30" customHeight="1"/>
    <row r="203" s="152" customFormat="1" ht="30" customHeight="1"/>
    <row r="204" s="152" customFormat="1" ht="30" customHeight="1"/>
    <row r="205" s="152" customFormat="1" ht="30" customHeight="1"/>
    <row r="206" s="152" customFormat="1" ht="30" customHeight="1"/>
    <row r="207" s="152" customFormat="1" ht="30" customHeight="1"/>
    <row r="208" s="152" customFormat="1" ht="30" customHeight="1"/>
    <row r="209" s="152" customFormat="1" ht="30" customHeight="1"/>
    <row r="210" s="152" customFormat="1" ht="30" customHeight="1"/>
    <row r="211" s="152" customFormat="1" ht="30" customHeight="1"/>
    <row r="212" s="152" customFormat="1" ht="30" customHeight="1"/>
    <row r="213" s="152" customFormat="1" ht="30" customHeight="1"/>
    <row r="214" s="152" customFormat="1" ht="30" customHeight="1"/>
    <row r="215" s="152" customFormat="1" ht="30" customHeight="1"/>
    <row r="216" s="152" customFormat="1" ht="30" customHeight="1"/>
    <row r="217" s="152" customFormat="1" ht="30" customHeight="1"/>
    <row r="218" s="152" customFormat="1" ht="30" customHeight="1"/>
    <row r="219" s="152" customFormat="1" ht="30" customHeight="1"/>
    <row r="220" s="152" customFormat="1" ht="30" customHeight="1"/>
    <row r="221" s="152" customFormat="1" ht="30" customHeight="1"/>
    <row r="222" s="152" customFormat="1" ht="30" customHeight="1"/>
    <row r="223" s="152" customFormat="1" ht="30" customHeight="1"/>
    <row r="224" s="152" customFormat="1" ht="30" customHeight="1"/>
    <row r="225" s="152" customFormat="1" ht="30" customHeight="1"/>
    <row r="226" s="152" customFormat="1" ht="30" customHeight="1"/>
    <row r="227" s="152" customFormat="1" ht="30" customHeight="1"/>
    <row r="228" s="152" customFormat="1" ht="30" customHeight="1"/>
    <row r="229" s="152" customFormat="1" ht="30" customHeight="1"/>
    <row r="230" s="152" customFormat="1" ht="30" customHeight="1"/>
    <row r="231" s="152" customFormat="1" ht="30" customHeight="1"/>
    <row r="232" s="152" customFormat="1" ht="30" customHeight="1"/>
    <row r="233" s="152" customFormat="1" ht="30" customHeight="1"/>
    <row r="234" s="152" customFormat="1" ht="30" customHeight="1"/>
    <row r="235" s="152" customFormat="1" ht="30" customHeight="1"/>
    <row r="236" s="152" customFormat="1" ht="30" customHeight="1"/>
    <row r="237" s="152" customFormat="1" ht="30" customHeight="1"/>
    <row r="238" s="152" customFormat="1" ht="30" customHeight="1"/>
    <row r="239" s="152" customFormat="1" ht="30" customHeight="1"/>
    <row r="240" s="152" customFormat="1" ht="30" customHeight="1"/>
    <row r="241" s="152" customFormat="1" ht="30" customHeight="1"/>
    <row r="242" s="152" customFormat="1" ht="30" customHeight="1"/>
    <row r="243" s="152" customFormat="1" ht="30" customHeight="1"/>
    <row r="244" s="152" customFormat="1" ht="30" customHeight="1"/>
    <row r="245" s="152" customFormat="1" ht="30" customHeight="1"/>
    <row r="246" s="152" customFormat="1" ht="30" customHeight="1"/>
    <row r="247" s="152" customFormat="1" ht="30" customHeight="1"/>
    <row r="248" s="152" customFormat="1" ht="30" customHeight="1"/>
    <row r="249" s="152" customFormat="1" ht="30" customHeight="1"/>
    <row r="250" s="152" customFormat="1" ht="30" customHeight="1"/>
    <row r="251" s="152" customFormat="1" ht="30" customHeight="1"/>
    <row r="252" s="152" customFormat="1" ht="30" customHeight="1"/>
    <row r="253" s="152" customFormat="1" ht="30" customHeight="1"/>
    <row r="254" s="152" customFormat="1" ht="30" customHeight="1"/>
    <row r="255" s="152" customFormat="1" ht="30" customHeight="1"/>
    <row r="256" s="152" customFormat="1" ht="30" customHeight="1"/>
    <row r="257" s="152" customFormat="1" ht="30" customHeight="1"/>
    <row r="258" s="152" customFormat="1" ht="30" customHeight="1"/>
    <row r="259" s="152" customFormat="1" ht="30" customHeight="1"/>
    <row r="260" ht="16.7" customHeight="1"/>
    <row r="261" ht="16.7" customHeight="1"/>
    <row r="262" ht="10.5" customHeight="1"/>
    <row r="263" ht="50.25" customHeight="1"/>
    <row r="264" ht="16.7" customHeight="1"/>
    <row r="265" ht="16.7" customHeight="1"/>
    <row r="266" ht="16.7" customHeight="1"/>
    <row r="267" ht="63.75" customHeight="1"/>
    <row r="268" ht="16.7" customHeight="1"/>
    <row r="269" ht="16.7" customHeight="1"/>
    <row r="270" ht="46.5" customHeight="1"/>
    <row r="271" ht="63.75" customHeight="1"/>
    <row r="272" ht="14.25" customHeight="1"/>
    <row r="273" ht="59.25" customHeight="1"/>
    <row r="274" ht="16.7" customHeight="1"/>
    <row r="275" ht="16.7" customHeight="1"/>
    <row r="276" ht="16.7" customHeight="1"/>
    <row r="277" ht="16.7" customHeight="1"/>
    <row r="278" ht="16.7" customHeight="1"/>
    <row r="279" ht="16.7" customHeight="1"/>
    <row r="280" ht="16.7" customHeight="1"/>
    <row r="281" ht="16.7" customHeight="1"/>
    <row r="282" ht="16.7" customHeight="1"/>
    <row r="283" ht="16.7" customHeight="1"/>
    <row r="284" ht="16.7" customHeight="1"/>
    <row r="285" ht="16.7" customHeight="1"/>
    <row r="286" ht="16.7" customHeight="1"/>
    <row r="287" ht="16.7" customHeight="1"/>
    <row r="288" ht="16.7" customHeight="1"/>
    <row r="289" ht="16.7" customHeight="1"/>
    <row r="290" ht="16.7" customHeight="1"/>
    <row r="291" ht="16.7" customHeight="1"/>
    <row r="292" ht="16.7" customHeight="1"/>
    <row r="293" ht="16.7" customHeight="1"/>
    <row r="294" ht="16.7" customHeight="1"/>
    <row r="295" ht="16.7" customHeight="1"/>
    <row r="296" ht="49.15" customHeight="1"/>
    <row r="297" ht="19.5" customHeight="1"/>
    <row r="298" ht="19.5" customHeight="1"/>
    <row r="299" ht="34.700000000000003" customHeight="1"/>
    <row r="300" ht="19.5" customHeight="1"/>
    <row r="301" ht="31.15" customHeight="1"/>
    <row r="302" ht="15" customHeight="1"/>
    <row r="303" ht="35.25" customHeight="1"/>
    <row r="304" ht="38.450000000000003" customHeight="1"/>
    <row r="305" ht="34.700000000000003" customHeight="1"/>
    <row r="306" ht="28.5" customHeight="1"/>
    <row r="307" ht="33.75" hidden="1" customHeight="1"/>
    <row r="308" ht="20.45" hidden="1" customHeight="1"/>
    <row r="309" ht="31.15" hidden="1" customHeight="1"/>
    <row r="310" ht="31.15" hidden="1" customHeight="1"/>
    <row r="311" s="153" customFormat="1" ht="15.75" customHeight="1"/>
    <row r="312" s="153" customFormat="1" ht="28.5" customHeight="1"/>
    <row r="313" ht="21" customHeight="1"/>
    <row r="314" ht="31.5" customHeight="1"/>
    <row r="315" ht="15.75" customHeight="1"/>
    <row r="316" ht="81.400000000000006" customHeight="1"/>
    <row r="317" ht="18.75" customHeight="1"/>
    <row r="318" ht="30" customHeight="1"/>
    <row r="319" ht="30" customHeight="1"/>
    <row r="320" ht="36" customHeight="1"/>
    <row r="321" s="153" customFormat="1" ht="31.15" customHeight="1"/>
    <row r="322" ht="14.25" customHeight="1"/>
    <row r="323" ht="30" customHeight="1"/>
    <row r="324" ht="16.7" customHeight="1"/>
    <row r="325" ht="16.7" customHeight="1"/>
    <row r="326" ht="19.5" customHeight="1"/>
    <row r="327" ht="33.75" customHeight="1"/>
    <row r="328" ht="16.7" customHeight="1"/>
    <row r="329" ht="16.7" customHeight="1"/>
    <row r="330" ht="13.5" customHeight="1"/>
    <row r="331" ht="15.75" customHeight="1"/>
    <row r="332" ht="14.25" customHeight="1"/>
    <row r="333" ht="30" customHeight="1"/>
    <row r="334" ht="31.15" customHeight="1"/>
    <row r="335" ht="15.75" customHeight="1"/>
    <row r="336" ht="32.25" customHeight="1"/>
    <row r="337" ht="13.15" customHeight="1"/>
    <row r="338" ht="49.15" customHeight="1"/>
    <row r="339" ht="19.5" customHeight="1"/>
    <row r="340" ht="19.5" customHeight="1"/>
    <row r="341" ht="34.700000000000003" customHeight="1"/>
    <row r="342" ht="19.5" customHeight="1"/>
    <row r="343" ht="31.15" customHeight="1"/>
    <row r="344" ht="20.45" customHeight="1"/>
    <row r="345" ht="35.25" customHeight="1"/>
    <row r="346" ht="38.450000000000003" customHeight="1"/>
    <row r="347" ht="34.700000000000003" customHeight="1"/>
    <row r="348" ht="28.5" customHeight="1"/>
    <row r="349" ht="18.75" customHeight="1"/>
    <row r="350" ht="30" customHeight="1"/>
    <row r="351" s="153" customFormat="1" ht="21" customHeight="1"/>
    <row r="352" s="153" customFormat="1" ht="18" customHeight="1"/>
    <row r="353" ht="15" customHeight="1"/>
    <row r="354" ht="19.5" customHeight="1"/>
    <row r="356" ht="36" customHeight="1"/>
    <row r="357" s="153" customFormat="1" ht="32.25" customHeight="1"/>
    <row r="358" ht="17.25" customHeight="1"/>
    <row r="359" ht="19.5" customHeight="1"/>
    <row r="360" ht="30" customHeight="1"/>
    <row r="361" ht="16.7" customHeight="1"/>
    <row r="362" ht="16.7" customHeight="1"/>
    <row r="363" ht="19.5" customHeight="1"/>
    <row r="364" ht="33.75" customHeight="1"/>
    <row r="365" ht="16.7" customHeight="1"/>
    <row r="366" ht="16.7" customHeight="1"/>
    <row r="367" ht="13.5" customHeight="1"/>
    <row r="368" ht="15.75" customHeight="1"/>
    <row r="369" ht="14.25" customHeight="1"/>
    <row r="370" ht="30" customHeight="1"/>
    <row r="371" ht="31.15" customHeight="1"/>
    <row r="372" ht="15.75" customHeight="1"/>
    <row r="373" ht="32.25" customHeight="1"/>
    <row r="374" ht="14.25" customHeight="1"/>
    <row r="375" ht="45.4" customHeight="1"/>
    <row r="376" ht="19.5" customHeight="1"/>
    <row r="377" ht="19.5" customHeight="1"/>
    <row r="378" ht="34.700000000000003" customHeight="1"/>
    <row r="379" ht="19.5" customHeight="1"/>
    <row r="380" ht="31.15" customHeight="1"/>
    <row r="381" ht="20.45" customHeight="1"/>
    <row r="382" ht="31.15" customHeight="1"/>
    <row r="383" ht="29.25" customHeight="1"/>
    <row r="384" ht="32.25" customHeight="1"/>
    <row r="385" ht="28.5" customHeight="1"/>
    <row r="386" ht="18.75" customHeight="1"/>
    <row r="387" ht="30" customHeight="1"/>
    <row r="388" ht="16.7" customHeight="1"/>
    <row r="389" ht="16.7" customHeight="1"/>
    <row r="390" ht="19.5" customHeight="1"/>
    <row r="391" ht="33.75" customHeight="1"/>
    <row r="392" ht="16.7" customHeight="1"/>
    <row r="393" ht="16.7" customHeight="1"/>
    <row r="394" ht="13.5" customHeight="1"/>
    <row r="395" ht="15.75" customHeight="1"/>
    <row r="396" ht="14.25" customHeight="1"/>
    <row r="397" ht="30" customHeight="1"/>
    <row r="398" ht="31.15" customHeight="1"/>
    <row r="399" ht="15.75" customHeight="1"/>
    <row r="400" ht="30" customHeight="1"/>
    <row r="401" ht="15.75" customHeight="1"/>
    <row r="402" ht="45.75" customHeight="1"/>
    <row r="403" ht="19.5" customHeight="1"/>
    <row r="404" ht="15" customHeight="1"/>
    <row r="405" ht="31.5" customHeight="1"/>
    <row r="406" ht="19.5" customHeight="1"/>
    <row r="407" ht="31.15" customHeight="1"/>
    <row r="408" ht="20.45" customHeight="1"/>
    <row r="409" ht="31.15" customHeight="1"/>
    <row r="410" ht="30" customHeight="1"/>
    <row r="411" ht="34.700000000000003" customHeight="1"/>
    <row r="412" ht="28.5" customHeight="1"/>
    <row r="413" ht="18" customHeight="1"/>
    <row r="414" s="153" customFormat="1" ht="18.75" customHeight="1"/>
    <row r="415" ht="30" customHeight="1"/>
    <row r="416" s="153" customFormat="1" ht="15.75" customHeight="1"/>
    <row r="417" ht="16.7" customHeight="1"/>
    <row r="418" s="153" customFormat="1" ht="18.75" customHeight="1"/>
    <row r="419" s="153" customFormat="1" ht="18" customHeight="1"/>
    <row r="420" ht="18.75" customHeight="1"/>
    <row r="421" ht="36" customHeight="1"/>
    <row r="422" s="153" customFormat="1" ht="34.700000000000003" customHeight="1"/>
    <row r="423" ht="14.25" customHeight="1"/>
    <row r="424" s="153" customFormat="1" ht="30" customHeight="1"/>
    <row r="425" ht="30" customHeight="1"/>
    <row r="426" ht="15" customHeight="1"/>
    <row r="427" ht="16.7" customHeight="1"/>
    <row r="428" ht="19.5" customHeight="1"/>
    <row r="429" ht="33.75" customHeight="1"/>
    <row r="430" ht="16.7" customHeight="1"/>
    <row r="431" ht="15" customHeight="1"/>
    <row r="432" ht="15" customHeight="1"/>
    <row r="433" ht="15.75" customHeight="1"/>
    <row r="434" ht="14.25" customHeight="1"/>
    <row r="435" ht="30" customHeight="1"/>
    <row r="436" ht="31.15" customHeight="1"/>
    <row r="437" ht="15.75" customHeight="1"/>
    <row r="438" ht="32.25" customHeight="1"/>
    <row r="439" ht="15.75" customHeight="1"/>
    <row r="440" ht="49.15" customHeight="1"/>
    <row r="441" ht="16.7" customHeight="1"/>
    <row r="442" ht="15.75" customHeight="1"/>
    <row r="443" ht="34.700000000000003" customHeight="1"/>
    <row r="444" ht="19.5" customHeight="1"/>
    <row r="445" ht="31.15" customHeight="1"/>
    <row r="446" ht="15.75" customHeight="1"/>
    <row r="447" ht="35.25" customHeight="1"/>
    <row r="448" ht="32.25" customHeight="1"/>
    <row r="449" ht="34.700000000000003" customHeight="1"/>
    <row r="450" ht="28.5" customHeight="1"/>
    <row r="451" s="153" customFormat="1" ht="30" customHeight="1"/>
    <row r="452" ht="30" customHeight="1"/>
    <row r="453" ht="16.7" customHeight="1"/>
    <row r="454" ht="16.7" customHeight="1"/>
    <row r="455" ht="19.5" customHeight="1"/>
    <row r="456" ht="33.75" customHeight="1"/>
    <row r="457" ht="16.7" customHeight="1"/>
    <row r="458" ht="16.7" customHeight="1"/>
    <row r="459" ht="13.5" customHeight="1"/>
    <row r="460" ht="15.75" customHeight="1"/>
    <row r="461" ht="14.25" customHeight="1"/>
    <row r="462" ht="30" customHeight="1"/>
    <row r="463" ht="31.15" customHeight="1"/>
    <row r="464" ht="15.75" customHeight="1"/>
    <row r="465" ht="32.25" customHeight="1"/>
    <row r="466" ht="13.15" customHeight="1"/>
    <row r="467" ht="49.15" customHeight="1"/>
    <row r="468" ht="19.5" customHeight="1"/>
    <row r="469" ht="19.5" customHeight="1"/>
    <row r="470" ht="34.700000000000003" customHeight="1"/>
    <row r="471" ht="19.5" customHeight="1"/>
    <row r="472" ht="31.15" customHeight="1"/>
    <row r="473" ht="16.7" customHeight="1"/>
    <row r="474" ht="35.25" customHeight="1"/>
    <row r="475" ht="29.25" customHeight="1"/>
    <row r="476" ht="34.700000000000003" customHeight="1"/>
    <row r="477" ht="28.5" customHeight="1"/>
    <row r="478" ht="24.2" customHeight="1"/>
    <row r="479" s="153" customFormat="1" ht="50.25" customHeight="1"/>
    <row r="480" ht="30" customHeight="1"/>
    <row r="481" ht="99.4" customHeight="1"/>
    <row r="482" ht="16.7" customHeight="1"/>
    <row r="483" ht="16.7" customHeight="1"/>
    <row r="484" ht="16.7" customHeight="1"/>
    <row r="485" ht="16.7" customHeight="1"/>
    <row r="486" ht="36" customHeight="1"/>
    <row r="487" s="153" customFormat="1" ht="13.5" customHeight="1"/>
    <row r="488" ht="14.25" customHeight="1"/>
    <row r="489" ht="30" customHeight="1"/>
    <row r="490" ht="16.7" customHeight="1"/>
    <row r="491" ht="16.7" customHeight="1"/>
    <row r="492" ht="19.5" customHeight="1"/>
    <row r="493" ht="33.75" customHeight="1"/>
    <row r="494" ht="16.7" customHeight="1"/>
    <row r="495" ht="16.7" customHeight="1"/>
    <row r="496" ht="13.5" customHeight="1"/>
    <row r="497" ht="15.75" customHeight="1"/>
    <row r="498" ht="14.25" customHeight="1"/>
    <row r="499" ht="30" customHeight="1"/>
    <row r="500" ht="31.15" customHeight="1"/>
    <row r="501" ht="15.75" customHeight="1"/>
    <row r="502" ht="32.25" customHeight="1"/>
    <row r="503" ht="13.15" customHeight="1"/>
    <row r="504" ht="49.15" customHeight="1"/>
    <row r="505" ht="18" customHeight="1"/>
    <row r="506" ht="15" customHeight="1"/>
    <row r="507" ht="34.700000000000003" customHeight="1"/>
    <row r="508" ht="19.5" customHeight="1"/>
    <row r="509" ht="31.15" customHeight="1"/>
    <row r="510" ht="15.75" customHeight="1"/>
    <row r="511" ht="35.25" customHeight="1"/>
    <row r="512" ht="38.450000000000003" customHeight="1"/>
    <row r="513" ht="34.700000000000003" customHeight="1"/>
    <row r="514" ht="28.5" customHeight="1"/>
    <row r="515" s="153" customFormat="1" ht="18.75" customHeight="1"/>
    <row r="516" ht="30" customHeight="1"/>
    <row r="517" ht="33" customHeight="1"/>
    <row r="518" ht="15" customHeight="1"/>
    <row r="519" ht="18" customHeight="1"/>
    <row r="520" ht="18" customHeight="1"/>
    <row r="521" ht="18" customHeight="1"/>
    <row r="522" ht="36" customHeight="1"/>
    <row r="523" s="153" customFormat="1" ht="13.5" customHeight="1"/>
    <row r="524" ht="14.25" customHeight="1"/>
    <row r="525" ht="30" customHeight="1"/>
    <row r="526" ht="16.7" customHeight="1"/>
    <row r="527" ht="16.7" customHeight="1"/>
    <row r="528" ht="19.5" customHeight="1"/>
    <row r="529" ht="33.75" customHeight="1"/>
    <row r="530" ht="16.7" customHeight="1"/>
    <row r="531" ht="16.7" customHeight="1"/>
    <row r="532" ht="13.5" customHeight="1"/>
    <row r="533" ht="15.75" customHeight="1"/>
    <row r="534" ht="14.25" customHeight="1"/>
    <row r="535" ht="30" customHeight="1"/>
    <row r="536" ht="31.15" customHeight="1"/>
    <row r="537" ht="15.75" customHeight="1"/>
    <row r="538" ht="32.25" customHeight="1"/>
    <row r="539" ht="15" customHeight="1"/>
    <row r="540" ht="49.15" customHeight="1"/>
    <row r="541" ht="19.5" customHeight="1"/>
    <row r="542" ht="13.5" customHeight="1"/>
    <row r="543" ht="34.700000000000003" customHeight="1"/>
    <row r="544" ht="19.5" customHeight="1"/>
    <row r="545" ht="31.15" customHeight="1"/>
    <row r="546" ht="20.45" customHeight="1"/>
    <row r="547" ht="31.15" customHeight="1"/>
    <row r="548" ht="31.15" customHeight="1"/>
    <row r="549" ht="34.700000000000003" customHeight="1"/>
    <row r="550" ht="28.5" customHeight="1"/>
    <row r="551" ht="33.75" hidden="1" customHeight="1"/>
    <row r="552" ht="20.45" hidden="1" customHeight="1"/>
    <row r="553" ht="31.15" hidden="1" customHeight="1"/>
    <row r="554" ht="31.15" hidden="1" customHeight="1"/>
    <row r="555" ht="28.5" customHeight="1"/>
    <row r="556" ht="29.25" customHeight="1"/>
    <row r="557" ht="29.25" customHeight="1"/>
    <row r="558" ht="30" customHeight="1"/>
    <row r="559" ht="15" customHeight="1"/>
    <row r="560" ht="23.25" customHeight="1"/>
    <row r="561" ht="30" customHeight="1"/>
  </sheetData>
  <customSheetViews>
    <customSheetView guid="{CA0FB9E2-E541-4C74-BCFE-D75491869B36}" scale="60" showPageBreaks="1" printArea="1" hiddenRows="1" view="pageBreakPreview" topLeftCell="A16">
      <selection activeCell="E27" sqref="E27"/>
      <rowBreaks count="7" manualBreakCount="7">
        <brk id="49" max="16383" man="1"/>
        <brk id="70" max="13" man="1"/>
        <brk id="118" max="13" man="1"/>
        <brk id="183" max="16383" man="1"/>
        <brk id="220" max="13" man="1"/>
        <brk id="258" max="16383" man="1"/>
        <brk id="312" max="13" man="1"/>
      </rowBreaks>
      <pageMargins left="0.78740157480314965" right="0.39370078740157483" top="0.59055118110236227" bottom="0.59055118110236227" header="0.35433070866141736" footer="0.6692913385826772"/>
      <pageSetup paperSize="9" scale="59" firstPageNumber="6" fitToHeight="14" orientation="portrait" r:id="rId1"/>
      <headerFooter differentFirst="1" alignWithMargins="0">
        <oddHeader>&amp;C&amp;"Times New Roman,обычный"&amp;14&amp;P</oddHeader>
      </headerFooter>
    </customSheetView>
    <customSheetView guid="{F10E3D8B-5892-420A-B023-68C6496D556B}" scale="60" showPageBreaks="1" printArea="1" hiddenRows="1" view="pageBreakPreview">
      <selection activeCell="F1" sqref="F1:J1"/>
      <rowBreaks count="7" manualBreakCount="7">
        <brk id="49" max="16383" man="1"/>
        <brk id="70" max="13" man="1"/>
        <brk id="118" max="13" man="1"/>
        <brk id="183" max="16383" man="1"/>
        <brk id="220" max="13" man="1"/>
        <brk id="258" max="16383" man="1"/>
        <brk id="312" max="13" man="1"/>
      </rowBreaks>
      <pageMargins left="0.78740157480314965" right="0.39370078740157483" top="0.59055118110236227" bottom="0.59055118110236227" header="0.35433070866141736" footer="0.6692913385826772"/>
      <pageSetup paperSize="9" scale="59" firstPageNumber="6" fitToHeight="14" orientation="portrait" r:id="rId2"/>
      <headerFooter differentFirst="1" alignWithMargins="0">
        <oddHeader>&amp;C&amp;"Times New Roman,обычный"&amp;14&amp;P</oddHeader>
      </headerFooter>
    </customSheetView>
    <customSheetView guid="{FE7E58EF-FECC-4DF6-BB75-BA97138CB219}" scale="60" showPageBreaks="1" printArea="1" hiddenRows="1" view="pageBreakPreview">
      <selection activeCell="F1" sqref="F1:J1"/>
      <rowBreaks count="7" manualBreakCount="7">
        <brk id="49" max="16383" man="1"/>
        <brk id="70" max="13" man="1"/>
        <brk id="118" max="13" man="1"/>
        <brk id="183" max="16383" man="1"/>
        <brk id="220" max="13" man="1"/>
        <brk id="258" max="16383" man="1"/>
        <brk id="312" max="13" man="1"/>
      </rowBreaks>
      <pageMargins left="0.78740157480314965" right="0.39370078740157483" top="0.59055118110236227" bottom="0.59055118110236227" header="0.35433070866141736" footer="0.6692913385826772"/>
      <pageSetup paperSize="9" scale="59" firstPageNumber="6" fitToHeight="14" orientation="portrait" r:id="rId3"/>
      <headerFooter differentFirst="1" alignWithMargins="0">
        <oddHeader>&amp;C&amp;"Times New Roman,обычный"&amp;14&amp;P</oddHeader>
      </headerFooter>
    </customSheetView>
    <customSheetView guid="{43136B00-66C6-4289-99D3-5EF20611F834}" scale="60" showPageBreaks="1" printArea="1" hiddenRows="1" view="pageBreakPreview" topLeftCell="A4">
      <selection activeCell="E27" sqref="E27"/>
      <rowBreaks count="7" manualBreakCount="7">
        <brk id="49" max="16383" man="1"/>
        <brk id="70" max="13" man="1"/>
        <brk id="118" max="13" man="1"/>
        <brk id="183" max="16383" man="1"/>
        <brk id="220" max="13" man="1"/>
        <brk id="258" max="16383" man="1"/>
        <brk id="312" max="13" man="1"/>
      </rowBreaks>
      <pageMargins left="0.78740157480314965" right="0.39370078740157483" top="0.59055118110236227" bottom="0.59055118110236227" header="0.35433070866141736" footer="0.6692913385826772"/>
      <pageSetup paperSize="9" scale="59" firstPageNumber="6" fitToHeight="14" orientation="portrait" r:id="rId4"/>
      <headerFooter differentFirst="1" alignWithMargins="0">
        <oddHeader>&amp;C&amp;"Times New Roman,обычный"&amp;14&amp;P</oddHeader>
      </headerFooter>
    </customSheetView>
    <customSheetView guid="{22820B9F-10DE-4629-AF3D-4AF98A9BCEDB}" scale="60" showPageBreaks="1" printArea="1" hiddenRows="1" view="pageBreakPreview">
      <selection activeCell="E27" sqref="E27"/>
      <rowBreaks count="7" manualBreakCount="7">
        <brk id="49" max="16383" man="1"/>
        <brk id="70" max="13" man="1"/>
        <brk id="118" max="13" man="1"/>
        <brk id="183" max="16383" man="1"/>
        <brk id="220" max="13" man="1"/>
        <brk id="258" max="16383" man="1"/>
        <brk id="312" max="13" man="1"/>
      </rowBreaks>
      <pageMargins left="0.78740157480314965" right="0.39370078740157483" top="0.59055118110236227" bottom="0.59055118110236227" header="0.35433070866141736" footer="0.6692913385826772"/>
      <pageSetup paperSize="9" scale="59" firstPageNumber="6" fitToHeight="14" orientation="portrait" r:id="rId5"/>
      <headerFooter differentFirst="1" alignWithMargins="0">
        <oddHeader>&amp;C&amp;"Times New Roman,обычный"&amp;14&amp;P</oddHeader>
      </headerFooter>
    </customSheetView>
  </customSheetViews>
  <mergeCells count="30">
    <mergeCell ref="A22:J22"/>
    <mergeCell ref="C23:F23"/>
    <mergeCell ref="A5:B5"/>
    <mergeCell ref="G5:J5"/>
    <mergeCell ref="A6:B6"/>
    <mergeCell ref="G6:J6"/>
    <mergeCell ref="I8:J8"/>
    <mergeCell ref="A10:B10"/>
    <mergeCell ref="G10:J10"/>
    <mergeCell ref="I9:J9"/>
    <mergeCell ref="D39:G40"/>
    <mergeCell ref="A39:C41"/>
    <mergeCell ref="D37:H37"/>
    <mergeCell ref="A32:C34"/>
    <mergeCell ref="A37:C37"/>
    <mergeCell ref="A7:B7"/>
    <mergeCell ref="G7:J7"/>
    <mergeCell ref="C25:F25"/>
    <mergeCell ref="A15:B15"/>
    <mergeCell ref="A21:J21"/>
    <mergeCell ref="F1:J1"/>
    <mergeCell ref="A3:B3"/>
    <mergeCell ref="G3:J3"/>
    <mergeCell ref="G4:J4"/>
    <mergeCell ref="A4:B4"/>
    <mergeCell ref="A47:C48"/>
    <mergeCell ref="A28:C31"/>
    <mergeCell ref="D43:G46"/>
    <mergeCell ref="D28:H31"/>
    <mergeCell ref="A43:C45"/>
  </mergeCells>
  <phoneticPr fontId="116" type="noConversion"/>
  <pageMargins left="0.78740157480314965" right="0.39370078740157483" top="0.59055118110236227" bottom="0.59055118110236227" header="0.35433070866141736" footer="0.6692913385826772"/>
  <pageSetup paperSize="9" scale="59" firstPageNumber="6" fitToHeight="14" orientation="portrait" r:id="rId6"/>
  <headerFooter differentFirst="1" alignWithMargins="0">
    <oddHeader>&amp;C&amp;"Times New Roman,обычный"&amp;14&amp;P</oddHeader>
  </headerFooter>
  <rowBreaks count="7" manualBreakCount="7">
    <brk id="50" max="16383" man="1"/>
    <brk id="71" max="13" man="1"/>
    <brk id="119" max="13" man="1"/>
    <brk id="184" max="16383" man="1"/>
    <brk id="221" max="13" man="1"/>
    <brk id="259" max="16383" man="1"/>
    <brk id="313" max="13" man="1"/>
  </rowBreaks>
</worksheet>
</file>

<file path=xl/worksheets/sheet30.xml><?xml version="1.0" encoding="utf-8"?>
<worksheet xmlns="http://schemas.openxmlformats.org/spreadsheetml/2006/main" xmlns:r="http://schemas.openxmlformats.org/officeDocument/2006/relationships">
  <sheetPr>
    <tabColor rgb="FF00B050"/>
  </sheetPr>
  <dimension ref="A1:H31"/>
  <sheetViews>
    <sheetView view="pageBreakPreview" topLeftCell="A20" zoomScale="95" zoomScaleNormal="100" zoomScaleSheetLayoutView="95" workbookViewId="0">
      <selection activeCell="D12" sqref="D12:D23"/>
    </sheetView>
  </sheetViews>
  <sheetFormatPr defaultRowHeight="15"/>
  <cols>
    <col min="1" max="1" width="4.42578125" style="667" bestFit="1" customWidth="1"/>
    <col min="2" max="2" width="48.28515625" style="667" customWidth="1"/>
    <col min="3" max="3" width="29.42578125" style="667" customWidth="1"/>
    <col min="4" max="4" width="24" style="713" customWidth="1"/>
    <col min="5" max="5" width="14.5703125" style="667" customWidth="1"/>
    <col min="6" max="16384" width="9.140625" style="667"/>
  </cols>
  <sheetData>
    <row r="1" spans="1:7" s="606" customFormat="1" ht="15.75">
      <c r="D1" s="785" t="s">
        <v>956</v>
      </c>
    </row>
    <row r="2" spans="1:7" s="784" customFormat="1" ht="33" hidden="1" customHeight="1">
      <c r="A2" s="669" t="s">
        <v>279</v>
      </c>
      <c r="B2" s="669"/>
      <c r="C2" s="669"/>
      <c r="D2" s="669"/>
      <c r="E2" s="669"/>
      <c r="F2" s="669"/>
      <c r="G2" s="669"/>
    </row>
    <row r="3" spans="1:7" s="784" customFormat="1" ht="15.75" hidden="1">
      <c r="A3" s="669"/>
      <c r="B3" s="669"/>
      <c r="C3" s="669"/>
      <c r="D3" s="669"/>
      <c r="E3" s="669"/>
      <c r="F3" s="669"/>
      <c r="G3" s="669"/>
    </row>
    <row r="4" spans="1:7" s="784" customFormat="1" ht="27" hidden="1" customHeight="1">
      <c r="A4" s="669" t="s">
        <v>274</v>
      </c>
      <c r="B4" s="669"/>
      <c r="C4" s="669"/>
      <c r="D4" s="669"/>
      <c r="E4" s="669"/>
      <c r="F4" s="669"/>
      <c r="G4" s="669"/>
    </row>
    <row r="5" spans="1:7" s="606" customFormat="1" ht="15.75">
      <c r="D5" s="785"/>
    </row>
    <row r="6" spans="1:7" s="606" customFormat="1" ht="33.75" customHeight="1">
      <c r="A6" s="1509" t="s">
        <v>1382</v>
      </c>
      <c r="B6" s="1509"/>
      <c r="C6" s="1509"/>
      <c r="D6" s="1509"/>
    </row>
    <row r="7" spans="1:7" s="606" customFormat="1" ht="33" customHeight="1">
      <c r="A7" s="1845" t="s">
        <v>126</v>
      </c>
      <c r="B7" s="1845"/>
      <c r="C7" s="1845"/>
      <c r="D7" s="1845"/>
    </row>
    <row r="8" spans="1:7" s="795" customFormat="1" ht="31.5">
      <c r="A8" s="268" t="s">
        <v>1267</v>
      </c>
      <c r="B8" s="268" t="s">
        <v>216</v>
      </c>
      <c r="C8" s="318" t="s">
        <v>1718</v>
      </c>
      <c r="D8" s="704" t="s">
        <v>90</v>
      </c>
    </row>
    <row r="9" spans="1:7" s="795" customFormat="1" ht="15.75">
      <c r="A9" s="268">
        <v>1</v>
      </c>
      <c r="B9" s="268">
        <v>2</v>
      </c>
      <c r="C9" s="318">
        <v>3</v>
      </c>
      <c r="D9" s="706">
        <v>4</v>
      </c>
    </row>
    <row r="10" spans="1:7" s="606" customFormat="1" ht="18" customHeight="1">
      <c r="A10" s="707">
        <v>1</v>
      </c>
      <c r="B10" s="796" t="s">
        <v>1802</v>
      </c>
      <c r="C10" s="616" t="s">
        <v>1296</v>
      </c>
      <c r="D10" s="797"/>
    </row>
    <row r="11" spans="1:7" s="606" customFormat="1" ht="33" customHeight="1">
      <c r="A11" s="707">
        <f>A10+1</f>
        <v>2</v>
      </c>
      <c r="B11" s="796" t="s">
        <v>1096</v>
      </c>
      <c r="C11" s="616" t="s">
        <v>1296</v>
      </c>
      <c r="D11" s="797"/>
    </row>
    <row r="12" spans="1:7" s="606" customFormat="1" ht="33" customHeight="1">
      <c r="A12" s="707">
        <f t="shared" ref="A12:A23" si="0">A11+1</f>
        <v>3</v>
      </c>
      <c r="B12" s="359" t="s">
        <v>275</v>
      </c>
      <c r="C12" s="616" t="s">
        <v>291</v>
      </c>
      <c r="D12" s="709">
        <f>3146.86*12+820.7*2</f>
        <v>39403.72</v>
      </c>
    </row>
    <row r="13" spans="1:7" s="606" customFormat="1" ht="32.25" customHeight="1">
      <c r="A13" s="707">
        <f t="shared" si="0"/>
        <v>4</v>
      </c>
      <c r="B13" s="359" t="s">
        <v>282</v>
      </c>
      <c r="C13" s="616" t="s">
        <v>283</v>
      </c>
      <c r="D13" s="709">
        <f>7035*4</f>
        <v>28140</v>
      </c>
    </row>
    <row r="14" spans="1:7" s="606" customFormat="1" ht="101.25" customHeight="1">
      <c r="A14" s="707">
        <f t="shared" si="0"/>
        <v>5</v>
      </c>
      <c r="B14" s="359" t="s">
        <v>284</v>
      </c>
      <c r="C14" s="616" t="s">
        <v>296</v>
      </c>
      <c r="D14" s="709">
        <v>34630</v>
      </c>
    </row>
    <row r="15" spans="1:7" ht="48.75" customHeight="1">
      <c r="A15" s="707">
        <f t="shared" si="0"/>
        <v>6</v>
      </c>
      <c r="B15" s="359" t="s">
        <v>289</v>
      </c>
      <c r="C15" s="616" t="s">
        <v>290</v>
      </c>
      <c r="D15" s="709">
        <f>624*2+1229*1+1267*2</f>
        <v>5011</v>
      </c>
    </row>
    <row r="16" spans="1:7" s="606" customFormat="1" ht="48.75" customHeight="1">
      <c r="A16" s="707">
        <f t="shared" si="0"/>
        <v>7</v>
      </c>
      <c r="B16" s="710" t="s">
        <v>276</v>
      </c>
      <c r="C16" s="616" t="s">
        <v>280</v>
      </c>
      <c r="D16" s="709">
        <f>3000*12*2</f>
        <v>72000</v>
      </c>
    </row>
    <row r="17" spans="1:8" s="606" customFormat="1" ht="21" customHeight="1">
      <c r="A17" s="707">
        <f t="shared" si="0"/>
        <v>8</v>
      </c>
      <c r="B17" s="359" t="s">
        <v>285</v>
      </c>
      <c r="C17" s="616" t="s">
        <v>286</v>
      </c>
      <c r="D17" s="709">
        <f>1600*3</f>
        <v>4800</v>
      </c>
    </row>
    <row r="18" spans="1:8" s="606" customFormat="1" ht="36" customHeight="1">
      <c r="A18" s="707">
        <f t="shared" si="0"/>
        <v>9</v>
      </c>
      <c r="B18" s="359" t="s">
        <v>287</v>
      </c>
      <c r="C18" s="616" t="s">
        <v>288</v>
      </c>
      <c r="D18" s="709">
        <f>1236.36*12</f>
        <v>14836.32</v>
      </c>
    </row>
    <row r="19" spans="1:8" s="606" customFormat="1" ht="96.75" customHeight="1">
      <c r="A19" s="707">
        <f t="shared" si="0"/>
        <v>10</v>
      </c>
      <c r="B19" s="359" t="s">
        <v>292</v>
      </c>
      <c r="C19" s="616" t="s">
        <v>300</v>
      </c>
      <c r="D19" s="709">
        <v>61823.49</v>
      </c>
    </row>
    <row r="20" spans="1:8" s="606" customFormat="1" ht="33.75" customHeight="1">
      <c r="A20" s="707">
        <f t="shared" si="0"/>
        <v>11</v>
      </c>
      <c r="B20" s="359" t="s">
        <v>277</v>
      </c>
      <c r="C20" s="616" t="s">
        <v>299</v>
      </c>
      <c r="D20" s="709">
        <v>11582</v>
      </c>
    </row>
    <row r="21" spans="1:8" s="606" customFormat="1" ht="48" customHeight="1">
      <c r="A21" s="707">
        <f t="shared" si="0"/>
        <v>12</v>
      </c>
      <c r="B21" s="359" t="s">
        <v>281</v>
      </c>
      <c r="C21" s="616" t="s">
        <v>298</v>
      </c>
      <c r="D21" s="709">
        <v>28870</v>
      </c>
    </row>
    <row r="22" spans="1:8" s="606" customFormat="1" ht="51" customHeight="1">
      <c r="A22" s="707">
        <f t="shared" si="0"/>
        <v>13</v>
      </c>
      <c r="B22" s="359" t="s">
        <v>278</v>
      </c>
      <c r="C22" s="616" t="s">
        <v>297</v>
      </c>
      <c r="D22" s="709">
        <v>30361.89</v>
      </c>
    </row>
    <row r="23" spans="1:8" s="606" customFormat="1" ht="59.25" customHeight="1">
      <c r="A23" s="707">
        <f t="shared" si="0"/>
        <v>14</v>
      </c>
      <c r="B23" s="359" t="s">
        <v>293</v>
      </c>
      <c r="C23" s="616" t="s">
        <v>301</v>
      </c>
      <c r="D23" s="709">
        <v>13493.3</v>
      </c>
    </row>
    <row r="24" spans="1:8" s="606" customFormat="1" ht="15.75">
      <c r="A24" s="1846" t="s">
        <v>183</v>
      </c>
      <c r="B24" s="1847"/>
      <c r="C24" s="1848"/>
      <c r="D24" s="798">
        <f>SUM(D12:D23)</f>
        <v>344951.72000000003</v>
      </c>
      <c r="E24" s="606">
        <v>383426.42</v>
      </c>
      <c r="F24" s="799">
        <f>E24-D24</f>
        <v>38474.699999999953</v>
      </c>
    </row>
    <row r="26" spans="1:8" s="671" customFormat="1" ht="21" customHeight="1">
      <c r="B26" s="669" t="s">
        <v>1077</v>
      </c>
      <c r="C26" s="696"/>
      <c r="D26" s="664" t="s">
        <v>1040</v>
      </c>
      <c r="E26" s="664"/>
      <c r="F26" s="697"/>
      <c r="G26" s="697"/>
      <c r="H26" s="702"/>
    </row>
    <row r="27" spans="1:8" s="671" customFormat="1" ht="23.25" customHeight="1">
      <c r="B27" s="670"/>
      <c r="C27" s="698" t="s">
        <v>1078</v>
      </c>
      <c r="D27" s="800" t="s">
        <v>1079</v>
      </c>
      <c r="E27" s="702"/>
      <c r="F27" s="801"/>
      <c r="G27" s="697"/>
      <c r="H27" s="697"/>
    </row>
    <row r="28" spans="1:8" s="671" customFormat="1" ht="15.75">
      <c r="B28" s="700" t="s">
        <v>1076</v>
      </c>
      <c r="C28" s="670"/>
      <c r="D28" s="696" t="s">
        <v>1245</v>
      </c>
      <c r="E28" s="664"/>
      <c r="F28" s="664"/>
      <c r="G28" s="702"/>
      <c r="H28" s="702"/>
    </row>
    <row r="29" spans="1:8" s="671" customFormat="1" ht="15.75" customHeight="1">
      <c r="B29" s="670"/>
      <c r="C29" s="800" t="s">
        <v>1078</v>
      </c>
      <c r="D29" s="702" t="s">
        <v>1079</v>
      </c>
      <c r="E29" s="702"/>
      <c r="F29" s="801"/>
      <c r="G29" s="697"/>
      <c r="H29" s="697"/>
    </row>
    <row r="30" spans="1:8" s="622" customFormat="1"/>
    <row r="31" spans="1:8" s="622" customFormat="1"/>
  </sheetData>
  <mergeCells count="3">
    <mergeCell ref="A6:D6"/>
    <mergeCell ref="A7:D7"/>
    <mergeCell ref="A24:C24"/>
  </mergeCells>
  <phoneticPr fontId="116" type="noConversion"/>
  <pageMargins left="0.98425196850393704" right="0.19685039370078741" top="0.78740157480314965" bottom="0.39370078740157483" header="0.51181102362204722" footer="0.51181102362204722"/>
  <pageSetup paperSize="9" scale="83" orientation="portrait" r:id="rId1"/>
  <headerFooter alignWithMargins="0"/>
</worksheet>
</file>

<file path=xl/worksheets/sheet31.xml><?xml version="1.0" encoding="utf-8"?>
<worksheet xmlns="http://schemas.openxmlformats.org/spreadsheetml/2006/main" xmlns:r="http://schemas.openxmlformats.org/officeDocument/2006/relationships">
  <sheetPr>
    <tabColor rgb="FFFF0000"/>
  </sheetPr>
  <dimension ref="A1:I26"/>
  <sheetViews>
    <sheetView view="pageBreakPreview" zoomScale="98" zoomScaleNormal="100" zoomScaleSheetLayoutView="98" workbookViewId="0">
      <selection activeCell="C18" sqref="C18:D18"/>
    </sheetView>
  </sheetViews>
  <sheetFormatPr defaultRowHeight="15"/>
  <cols>
    <col min="1" max="1" width="4.7109375" style="667" bestFit="1" customWidth="1"/>
    <col min="2" max="2" width="45" style="667" customWidth="1"/>
    <col min="3" max="3" width="17.85546875" style="667" customWidth="1"/>
    <col min="4" max="4" width="18.5703125" style="713" customWidth="1"/>
    <col min="5" max="5" width="11.7109375" style="667" bestFit="1" customWidth="1"/>
    <col min="6" max="6" width="11.140625" style="667" bestFit="1" customWidth="1"/>
    <col min="7" max="16384" width="9.140625" style="667"/>
  </cols>
  <sheetData>
    <row r="1" spans="1:9" ht="15.75">
      <c r="A1" s="606"/>
      <c r="B1" s="606"/>
      <c r="C1" s="606"/>
      <c r="D1" s="785" t="s">
        <v>957</v>
      </c>
    </row>
    <row r="2" spans="1:9" ht="15.75">
      <c r="A2" s="606"/>
      <c r="B2" s="606"/>
      <c r="C2" s="606"/>
      <c r="D2" s="785"/>
    </row>
    <row r="3" spans="1:9" ht="16.5" customHeight="1">
      <c r="A3" s="1509" t="s">
        <v>1383</v>
      </c>
      <c r="B3" s="1526"/>
      <c r="C3" s="1526"/>
      <c r="D3" s="1526"/>
    </row>
    <row r="4" spans="1:9" s="784" customFormat="1" ht="21" customHeight="1">
      <c r="A4" s="669"/>
      <c r="B4" s="1849" t="s">
        <v>122</v>
      </c>
      <c r="C4" s="1849"/>
      <c r="D4" s="1849"/>
      <c r="E4" s="669"/>
      <c r="F4" s="669"/>
      <c r="G4" s="669"/>
      <c r="H4" s="669"/>
      <c r="I4" s="669"/>
    </row>
    <row r="5" spans="1:9" s="705" customFormat="1" ht="31.5">
      <c r="A5" s="268" t="s">
        <v>1267</v>
      </c>
      <c r="B5" s="268" t="s">
        <v>217</v>
      </c>
      <c r="C5" s="318" t="s">
        <v>1718</v>
      </c>
      <c r="D5" s="704" t="s">
        <v>90</v>
      </c>
    </row>
    <row r="6" spans="1:9" s="705" customFormat="1" ht="15.75">
      <c r="A6" s="268">
        <v>1</v>
      </c>
      <c r="B6" s="268">
        <v>2</v>
      </c>
      <c r="C6" s="318">
        <v>3</v>
      </c>
      <c r="D6" s="706">
        <v>4</v>
      </c>
    </row>
    <row r="7" spans="1:9" ht="15.75">
      <c r="A7" s="707">
        <v>1</v>
      </c>
      <c r="B7" s="359" t="s">
        <v>1802</v>
      </c>
      <c r="C7" s="616" t="s">
        <v>1296</v>
      </c>
      <c r="D7" s="709">
        <v>0</v>
      </c>
    </row>
    <row r="8" spans="1:9" ht="31.5">
      <c r="A8" s="707">
        <f>A7+1</f>
        <v>2</v>
      </c>
      <c r="B8" s="359" t="s">
        <v>1096</v>
      </c>
      <c r="C8" s="616" t="s">
        <v>1296</v>
      </c>
      <c r="D8" s="709">
        <v>0</v>
      </c>
    </row>
    <row r="9" spans="1:9" ht="78" customHeight="1">
      <c r="A9" s="707">
        <f t="shared" ref="A9:A19" si="0">A8+1</f>
        <v>3</v>
      </c>
      <c r="B9" s="359" t="s">
        <v>1817</v>
      </c>
      <c r="C9" s="677" t="s">
        <v>1015</v>
      </c>
      <c r="D9" s="709">
        <f>'[6]226 осаго '!I13</f>
        <v>15328.69</v>
      </c>
    </row>
    <row r="10" spans="1:9" ht="45" customHeight="1">
      <c r="A10" s="707">
        <f t="shared" si="0"/>
        <v>4</v>
      </c>
      <c r="B10" s="359" t="s">
        <v>1819</v>
      </c>
      <c r="C10" s="677" t="s">
        <v>1016</v>
      </c>
      <c r="D10" s="709">
        <f>'[6]226медосмотр'!F35</f>
        <v>132732</v>
      </c>
    </row>
    <row r="11" spans="1:9" ht="40.5" customHeight="1">
      <c r="A11" s="707">
        <f t="shared" si="0"/>
        <v>5</v>
      </c>
      <c r="B11" s="359" t="s">
        <v>1337</v>
      </c>
      <c r="C11" s="677" t="s">
        <v>1352</v>
      </c>
      <c r="D11" s="709">
        <f>2450*12</f>
        <v>29400</v>
      </c>
    </row>
    <row r="12" spans="1:9" ht="42.75" customHeight="1">
      <c r="A12" s="707">
        <f t="shared" si="0"/>
        <v>6</v>
      </c>
      <c r="B12" s="359" t="s">
        <v>1338</v>
      </c>
      <c r="C12" s="677" t="s">
        <v>1350</v>
      </c>
      <c r="D12" s="709">
        <f>(323)*8</f>
        <v>2584</v>
      </c>
    </row>
    <row r="13" spans="1:9" ht="40.5" customHeight="1">
      <c r="A13" s="707">
        <f t="shared" si="0"/>
        <v>7</v>
      </c>
      <c r="B13" s="710" t="s">
        <v>1339</v>
      </c>
      <c r="C13" s="677" t="s">
        <v>1349</v>
      </c>
      <c r="D13" s="709">
        <f>450*2</f>
        <v>900</v>
      </c>
    </row>
    <row r="14" spans="1:9" ht="62.25" customHeight="1">
      <c r="A14" s="707">
        <f t="shared" si="0"/>
        <v>8</v>
      </c>
      <c r="B14" s="692" t="s">
        <v>1342</v>
      </c>
      <c r="C14" s="677" t="s">
        <v>1343</v>
      </c>
      <c r="D14" s="709">
        <f>59*2*2*136</f>
        <v>32096</v>
      </c>
    </row>
    <row r="15" spans="1:9" ht="25.5">
      <c r="A15" s="707">
        <f t="shared" si="0"/>
        <v>9</v>
      </c>
      <c r="B15" s="710" t="s">
        <v>1340</v>
      </c>
      <c r="C15" s="677" t="s">
        <v>781</v>
      </c>
      <c r="D15" s="709">
        <f>8606*2</f>
        <v>17212</v>
      </c>
    </row>
    <row r="16" spans="1:9" ht="46.5" customHeight="1">
      <c r="A16" s="707">
        <f t="shared" si="0"/>
        <v>10</v>
      </c>
      <c r="B16" s="710" t="s">
        <v>1341</v>
      </c>
      <c r="C16" s="677" t="s">
        <v>1351</v>
      </c>
      <c r="D16" s="709">
        <f>7.08*24*365</f>
        <v>62020.800000000003</v>
      </c>
    </row>
    <row r="17" spans="1:8" ht="31.5" customHeight="1">
      <c r="A17" s="707">
        <f t="shared" si="0"/>
        <v>11</v>
      </c>
      <c r="B17" s="692" t="s">
        <v>782</v>
      </c>
      <c r="C17" s="677" t="s">
        <v>783</v>
      </c>
      <c r="D17" s="709">
        <v>50000</v>
      </c>
      <c r="E17" s="694"/>
    </row>
    <row r="18" spans="1:8" ht="37.5" customHeight="1">
      <c r="A18" s="707">
        <f t="shared" si="0"/>
        <v>12</v>
      </c>
      <c r="B18" s="692" t="s">
        <v>784</v>
      </c>
      <c r="C18" s="677" t="s">
        <v>785</v>
      </c>
      <c r="D18" s="709">
        <v>16700</v>
      </c>
      <c r="E18" s="694" t="s">
        <v>125</v>
      </c>
    </row>
    <row r="19" spans="1:8" ht="19.5" customHeight="1">
      <c r="A19" s="707">
        <f t="shared" si="0"/>
        <v>13</v>
      </c>
      <c r="B19" s="1389" t="s">
        <v>786</v>
      </c>
      <c r="C19" s="677" t="s">
        <v>787</v>
      </c>
      <c r="D19" s="709">
        <f>17590*1</f>
        <v>17590</v>
      </c>
      <c r="E19" s="694"/>
    </row>
    <row r="20" spans="1:8" ht="15.75">
      <c r="A20" s="1850" t="s">
        <v>183</v>
      </c>
      <c r="B20" s="1851"/>
      <c r="C20" s="1852"/>
      <c r="D20" s="711">
        <f>SUM(D9:D19)</f>
        <v>376563.49</v>
      </c>
      <c r="E20" s="694"/>
      <c r="F20" s="694"/>
    </row>
    <row r="22" spans="1:8" s="671" customFormat="1" ht="26.25" customHeight="1">
      <c r="B22" s="669" t="s">
        <v>1077</v>
      </c>
      <c r="C22" s="696"/>
      <c r="D22" s="696" t="s">
        <v>1040</v>
      </c>
      <c r="E22" s="664"/>
      <c r="F22" s="697"/>
      <c r="G22" s="697"/>
      <c r="H22" s="702"/>
    </row>
    <row r="23" spans="1:8" s="671" customFormat="1" ht="18" customHeight="1">
      <c r="B23" s="670"/>
      <c r="C23" s="698" t="s">
        <v>1078</v>
      </c>
      <c r="D23" s="712" t="s">
        <v>1079</v>
      </c>
      <c r="E23" s="697"/>
      <c r="F23" s="697"/>
      <c r="G23" s="697"/>
      <c r="H23" s="697"/>
    </row>
    <row r="24" spans="1:8" s="671" customFormat="1" ht="26.25" customHeight="1">
      <c r="B24" s="700" t="s">
        <v>1076</v>
      </c>
      <c r="C24" s="696"/>
      <c r="D24" s="696" t="s">
        <v>1245</v>
      </c>
      <c r="E24" s="664"/>
      <c r="F24" s="664"/>
      <c r="G24" s="702"/>
      <c r="H24" s="702"/>
    </row>
    <row r="25" spans="1:8" s="671" customFormat="1" ht="18.75" customHeight="1">
      <c r="B25" s="670"/>
      <c r="C25" s="698" t="s">
        <v>1078</v>
      </c>
      <c r="D25" s="712" t="s">
        <v>1079</v>
      </c>
      <c r="E25" s="697"/>
      <c r="F25" s="697"/>
      <c r="G25" s="697"/>
      <c r="H25" s="697"/>
    </row>
    <row r="26" spans="1:8" s="622" customFormat="1"/>
  </sheetData>
  <mergeCells count="3">
    <mergeCell ref="A3:D3"/>
    <mergeCell ref="B4:D4"/>
    <mergeCell ref="A20:C20"/>
  </mergeCells>
  <phoneticPr fontId="116" type="noConversion"/>
  <pageMargins left="0.70866141732283472" right="0.70866141732283472" top="0.74803149606299213" bottom="0.74803149606299213" header="0.31496062992125984" footer="0.31496062992125984"/>
  <pageSetup paperSize="9" orientation="portrait" r:id="rId1"/>
</worksheet>
</file>

<file path=xl/worksheets/sheet32.xml><?xml version="1.0" encoding="utf-8"?>
<worksheet xmlns="http://schemas.openxmlformats.org/spreadsheetml/2006/main" xmlns:r="http://schemas.openxmlformats.org/officeDocument/2006/relationships">
  <sheetPr>
    <tabColor rgb="FF00B050"/>
  </sheetPr>
  <dimension ref="A1:I23"/>
  <sheetViews>
    <sheetView view="pageBreakPreview" topLeftCell="A16" zoomScale="98" zoomScaleNormal="100" zoomScaleSheetLayoutView="98" workbookViewId="0">
      <selection activeCell="D15" sqref="D15"/>
    </sheetView>
  </sheetViews>
  <sheetFormatPr defaultRowHeight="15"/>
  <cols>
    <col min="1" max="1" width="4.7109375" style="667" bestFit="1" customWidth="1"/>
    <col min="2" max="2" width="45" style="667" customWidth="1"/>
    <col min="3" max="3" width="17.85546875" style="667" customWidth="1"/>
    <col min="4" max="4" width="18.5703125" style="713" customWidth="1"/>
    <col min="5" max="5" width="11.7109375" style="667" bestFit="1" customWidth="1"/>
    <col min="6" max="6" width="11.140625" style="667" bestFit="1" customWidth="1"/>
    <col min="7" max="16384" width="9.140625" style="667"/>
  </cols>
  <sheetData>
    <row r="1" spans="1:9" ht="15.75">
      <c r="A1" s="606"/>
      <c r="B1" s="606"/>
      <c r="C1" s="606"/>
      <c r="D1" s="672" t="s">
        <v>957</v>
      </c>
    </row>
    <row r="2" spans="1:9" ht="15.75">
      <c r="A2" s="606"/>
      <c r="B2" s="606"/>
      <c r="C2" s="606"/>
      <c r="D2" s="672"/>
    </row>
    <row r="3" spans="1:9" ht="16.5" customHeight="1">
      <c r="A3" s="1509" t="s">
        <v>1383</v>
      </c>
      <c r="B3" s="1526"/>
      <c r="C3" s="1526"/>
      <c r="D3" s="1526"/>
    </row>
    <row r="4" spans="1:9" s="703" customFormat="1" ht="21" customHeight="1">
      <c r="A4" s="695"/>
      <c r="B4" s="1849" t="s">
        <v>123</v>
      </c>
      <c r="C4" s="1849"/>
      <c r="D4" s="1849"/>
      <c r="E4" s="695"/>
      <c r="F4" s="695"/>
      <c r="G4" s="695"/>
      <c r="H4" s="695"/>
      <c r="I4" s="695"/>
    </row>
    <row r="5" spans="1:9" s="705" customFormat="1" ht="31.5">
      <c r="A5" s="268" t="s">
        <v>1267</v>
      </c>
      <c r="B5" s="268" t="s">
        <v>217</v>
      </c>
      <c r="C5" s="318" t="s">
        <v>1718</v>
      </c>
      <c r="D5" s="704" t="s">
        <v>90</v>
      </c>
    </row>
    <row r="6" spans="1:9" s="705" customFormat="1" ht="15.75">
      <c r="A6" s="268">
        <v>1</v>
      </c>
      <c r="B6" s="268">
        <v>2</v>
      </c>
      <c r="C6" s="318">
        <v>3</v>
      </c>
      <c r="D6" s="706">
        <v>4</v>
      </c>
    </row>
    <row r="7" spans="1:9" ht="15.75">
      <c r="A7" s="707">
        <v>1</v>
      </c>
      <c r="B7" s="708" t="s">
        <v>1802</v>
      </c>
      <c r="C7" s="616" t="s">
        <v>1296</v>
      </c>
      <c r="D7" s="709">
        <v>0</v>
      </c>
    </row>
    <row r="8" spans="1:9" ht="31.5">
      <c r="A8" s="707">
        <f>A7+1</f>
        <v>2</v>
      </c>
      <c r="B8" s="708" t="s">
        <v>1096</v>
      </c>
      <c r="C8" s="616" t="s">
        <v>1296</v>
      </c>
      <c r="D8" s="709">
        <v>0</v>
      </c>
    </row>
    <row r="9" spans="1:9" ht="78" customHeight="1">
      <c r="A9" s="707">
        <f t="shared" ref="A9:A16" si="0">A8+1</f>
        <v>3</v>
      </c>
      <c r="B9" s="708" t="s">
        <v>1817</v>
      </c>
      <c r="C9" s="677" t="s">
        <v>1015</v>
      </c>
      <c r="D9" s="709">
        <f ca="1">'226 осаго '!I13</f>
        <v>15328.69</v>
      </c>
    </row>
    <row r="10" spans="1:9" ht="45" customHeight="1">
      <c r="A10" s="707">
        <f t="shared" si="0"/>
        <v>4</v>
      </c>
      <c r="B10" s="708" t="s">
        <v>1819</v>
      </c>
      <c r="C10" s="677" t="s">
        <v>1016</v>
      </c>
      <c r="D10" s="709">
        <f ca="1">'226медосмотр'!F35</f>
        <v>132732</v>
      </c>
    </row>
    <row r="11" spans="1:9" ht="40.5" customHeight="1">
      <c r="A11" s="707">
        <f t="shared" si="0"/>
        <v>5</v>
      </c>
      <c r="B11" s="708" t="s">
        <v>1337</v>
      </c>
      <c r="C11" s="677" t="s">
        <v>1352</v>
      </c>
      <c r="D11" s="709">
        <f>2450*12</f>
        <v>29400</v>
      </c>
    </row>
    <row r="12" spans="1:9" ht="42.75" customHeight="1">
      <c r="A12" s="707">
        <f t="shared" si="0"/>
        <v>6</v>
      </c>
      <c r="B12" s="708" t="s">
        <v>1338</v>
      </c>
      <c r="C12" s="677" t="s">
        <v>1350</v>
      </c>
      <c r="D12" s="709">
        <f>(323)*8</f>
        <v>2584</v>
      </c>
    </row>
    <row r="13" spans="1:9" ht="40.5" customHeight="1">
      <c r="A13" s="707">
        <f t="shared" si="0"/>
        <v>7</v>
      </c>
      <c r="B13" s="710" t="s">
        <v>1339</v>
      </c>
      <c r="C13" s="677" t="s">
        <v>1349</v>
      </c>
      <c r="D13" s="709">
        <f>450*2</f>
        <v>900</v>
      </c>
    </row>
    <row r="14" spans="1:9" ht="62.25" customHeight="1">
      <c r="A14" s="707">
        <f t="shared" si="0"/>
        <v>8</v>
      </c>
      <c r="B14" s="692" t="s">
        <v>1342</v>
      </c>
      <c r="C14" s="677" t="s">
        <v>1343</v>
      </c>
      <c r="D14" s="709">
        <f>59*2*2*136</f>
        <v>32096</v>
      </c>
    </row>
    <row r="15" spans="1:9" ht="25.5">
      <c r="A15" s="707">
        <f t="shared" si="0"/>
        <v>9</v>
      </c>
      <c r="B15" s="710" t="s">
        <v>1340</v>
      </c>
      <c r="C15" s="677" t="s">
        <v>124</v>
      </c>
      <c r="D15" s="709">
        <f>17212*2</f>
        <v>34424</v>
      </c>
    </row>
    <row r="16" spans="1:9" ht="46.5" customHeight="1">
      <c r="A16" s="707">
        <f t="shared" si="0"/>
        <v>10</v>
      </c>
      <c r="B16" s="710" t="s">
        <v>1341</v>
      </c>
      <c r="C16" s="677" t="s">
        <v>1351</v>
      </c>
      <c r="D16" s="709">
        <f>7.08*24*365</f>
        <v>62020.800000000003</v>
      </c>
    </row>
    <row r="17" spans="1:8" ht="15.75">
      <c r="A17" s="1850" t="s">
        <v>183</v>
      </c>
      <c r="B17" s="1851"/>
      <c r="C17" s="1852"/>
      <c r="D17" s="711">
        <f>SUM(D9:D16)</f>
        <v>309485.49</v>
      </c>
      <c r="E17" s="694">
        <f>338741.96+21346.69</f>
        <v>360088.65</v>
      </c>
      <c r="F17" s="694">
        <f>E17-D17</f>
        <v>50603.160000000033</v>
      </c>
    </row>
    <row r="19" spans="1:8" s="671" customFormat="1" ht="26.25" customHeight="1">
      <c r="B19" s="695" t="s">
        <v>1077</v>
      </c>
      <c r="C19" s="696"/>
      <c r="D19" s="696" t="s">
        <v>1040</v>
      </c>
      <c r="E19" s="664"/>
      <c r="F19" s="697"/>
      <c r="G19" s="697"/>
      <c r="H19" s="702"/>
    </row>
    <row r="20" spans="1:8" s="671" customFormat="1" ht="18" customHeight="1">
      <c r="B20" s="670"/>
      <c r="C20" s="698" t="s">
        <v>1078</v>
      </c>
      <c r="D20" s="712" t="s">
        <v>1079</v>
      </c>
      <c r="E20" s="697"/>
      <c r="F20" s="697"/>
      <c r="G20" s="697"/>
      <c r="H20" s="697"/>
    </row>
    <row r="21" spans="1:8" s="671" customFormat="1" ht="26.25" customHeight="1">
      <c r="B21" s="700" t="s">
        <v>1076</v>
      </c>
      <c r="C21" s="696"/>
      <c r="D21" s="696" t="s">
        <v>1245</v>
      </c>
      <c r="E21" s="664"/>
      <c r="F21" s="664"/>
      <c r="G21" s="702"/>
      <c r="H21" s="702"/>
    </row>
    <row r="22" spans="1:8" s="671" customFormat="1" ht="18.75" customHeight="1">
      <c r="B22" s="670"/>
      <c r="C22" s="698" t="s">
        <v>1078</v>
      </c>
      <c r="D22" s="712" t="s">
        <v>1079</v>
      </c>
      <c r="E22" s="697"/>
      <c r="F22" s="697"/>
      <c r="G22" s="697"/>
      <c r="H22" s="697"/>
    </row>
    <row r="23" spans="1:8" s="622" customFormat="1"/>
  </sheetData>
  <mergeCells count="3">
    <mergeCell ref="A3:D3"/>
    <mergeCell ref="B4:D4"/>
    <mergeCell ref="A17:C17"/>
  </mergeCells>
  <phoneticPr fontId="116" type="noConversion"/>
  <pageMargins left="0.70866141732283472" right="0.70866141732283472" top="0.74803149606299213" bottom="0.74803149606299213" header="0.31496062992125984" footer="0.31496062992125984"/>
  <pageSetup paperSize="9" orientation="portrait" r:id="rId1"/>
</worksheet>
</file>

<file path=xl/worksheets/sheet33.xml><?xml version="1.0" encoding="utf-8"?>
<worksheet xmlns="http://schemas.openxmlformats.org/spreadsheetml/2006/main" xmlns:r="http://schemas.openxmlformats.org/officeDocument/2006/relationships">
  <sheetPr>
    <tabColor rgb="FF3366FF"/>
  </sheetPr>
  <dimension ref="A1:AZ26"/>
  <sheetViews>
    <sheetView view="pageBreakPreview" zoomScale="60" zoomScaleNormal="100" workbookViewId="0">
      <selection activeCell="B40" sqref="B40"/>
    </sheetView>
  </sheetViews>
  <sheetFormatPr defaultColWidth="7.7109375" defaultRowHeight="15"/>
  <cols>
    <col min="1" max="1" width="4.28515625" style="90" customWidth="1"/>
    <col min="2" max="2" width="18.140625" style="97" customWidth="1"/>
    <col min="3" max="3" width="16" style="90" customWidth="1"/>
    <col min="4" max="4" width="18.28515625" style="91" customWidth="1"/>
    <col min="5" max="5" width="16.28515625" style="91" customWidth="1"/>
    <col min="6" max="7" width="16.7109375" style="91" customWidth="1"/>
    <col min="8" max="8" width="15.5703125" style="91" customWidth="1"/>
    <col min="9" max="9" width="23.42578125" style="90" customWidth="1"/>
    <col min="10" max="10" width="11" style="91" customWidth="1"/>
    <col min="11" max="51" width="7.7109375" style="91" customWidth="1"/>
    <col min="52" max="52" width="62.28515625" style="91" customWidth="1"/>
    <col min="53" max="16384" width="7.7109375" style="91"/>
  </cols>
  <sheetData>
    <row r="1" spans="1:52" s="89" customFormat="1" ht="18.75" customHeight="1">
      <c r="A1" s="289"/>
      <c r="B1" s="289"/>
      <c r="C1" s="289"/>
      <c r="D1" s="289"/>
      <c r="E1" s="289"/>
      <c r="F1" s="289"/>
      <c r="G1" s="289"/>
      <c r="H1" s="289"/>
      <c r="I1" s="676" t="s">
        <v>958</v>
      </c>
    </row>
    <row r="2" spans="1:52" s="89" customFormat="1" ht="24" customHeight="1">
      <c r="A2" s="289"/>
      <c r="B2" s="289"/>
      <c r="C2" s="289"/>
      <c r="D2" s="289"/>
      <c r="E2" s="289"/>
      <c r="F2" s="289"/>
      <c r="G2" s="289"/>
      <c r="H2" s="289"/>
      <c r="I2" s="676"/>
    </row>
    <row r="3" spans="1:52" s="88" customFormat="1" ht="38.25" customHeight="1">
      <c r="A3" s="1509" t="s">
        <v>1384</v>
      </c>
      <c r="B3" s="1509"/>
      <c r="C3" s="1509"/>
      <c r="D3" s="1509"/>
      <c r="E3" s="1509"/>
      <c r="F3" s="1509"/>
      <c r="G3" s="1509"/>
      <c r="H3" s="1509"/>
      <c r="I3" s="1509"/>
    </row>
    <row r="4" spans="1:52" s="88" customFormat="1" ht="15.75" customHeight="1">
      <c r="A4" s="409"/>
      <c r="B4" s="409"/>
      <c r="C4" s="409"/>
      <c r="D4" s="409"/>
      <c r="E4" s="409"/>
      <c r="F4" s="409"/>
      <c r="G4" s="409"/>
      <c r="H4" s="409"/>
      <c r="I4" s="409"/>
    </row>
    <row r="5" spans="1:52" s="93" customFormat="1" ht="22.5" customHeight="1">
      <c r="A5" s="1856" t="s">
        <v>1267</v>
      </c>
      <c r="B5" s="1856" t="s">
        <v>1520</v>
      </c>
      <c r="C5" s="1856" t="s">
        <v>1521</v>
      </c>
      <c r="D5" s="1858" t="s">
        <v>1522</v>
      </c>
      <c r="E5" s="1859"/>
      <c r="F5" s="1859"/>
      <c r="G5" s="1859"/>
      <c r="H5" s="1860"/>
      <c r="I5" s="1856" t="s">
        <v>1388</v>
      </c>
      <c r="J5" s="92"/>
      <c r="K5" s="92"/>
      <c r="L5" s="92"/>
      <c r="M5" s="92"/>
      <c r="N5" s="92"/>
      <c r="O5" s="92"/>
      <c r="P5" s="92"/>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row>
    <row r="6" spans="1:52" s="93" customFormat="1" ht="80.25" customHeight="1">
      <c r="A6" s="1857"/>
      <c r="B6" s="1857"/>
      <c r="C6" s="1857"/>
      <c r="D6" s="259" t="s">
        <v>1523</v>
      </c>
      <c r="E6" s="259" t="s">
        <v>1524</v>
      </c>
      <c r="F6" s="259" t="s">
        <v>1346</v>
      </c>
      <c r="G6" s="259" t="s">
        <v>1525</v>
      </c>
      <c r="H6" s="259" t="s">
        <v>1526</v>
      </c>
      <c r="I6" s="1857"/>
      <c r="J6" s="92"/>
      <c r="K6" s="92"/>
      <c r="L6" s="92"/>
      <c r="M6" s="92"/>
      <c r="N6" s="92"/>
      <c r="O6" s="92"/>
      <c r="P6" s="92"/>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row>
    <row r="7" spans="1:52" s="95" customFormat="1" ht="15.75">
      <c r="A7" s="410">
        <v>1</v>
      </c>
      <c r="B7" s="410">
        <v>2</v>
      </c>
      <c r="C7" s="410">
        <v>3</v>
      </c>
      <c r="D7" s="410">
        <v>4</v>
      </c>
      <c r="E7" s="410">
        <v>5</v>
      </c>
      <c r="F7" s="411">
        <v>6</v>
      </c>
      <c r="G7" s="411">
        <v>7</v>
      </c>
      <c r="H7" s="410">
        <v>8</v>
      </c>
      <c r="I7" s="410">
        <v>9</v>
      </c>
      <c r="J7" s="94"/>
      <c r="K7" s="94"/>
      <c r="L7" s="94"/>
      <c r="M7" s="94"/>
      <c r="N7" s="94"/>
      <c r="O7" s="94"/>
      <c r="P7" s="94"/>
      <c r="Q7" s="94"/>
      <c r="R7" s="94"/>
      <c r="S7" s="94"/>
      <c r="T7" s="94"/>
      <c r="U7" s="94"/>
      <c r="V7" s="94"/>
      <c r="W7" s="94"/>
      <c r="X7" s="94"/>
      <c r="Y7" s="94"/>
      <c r="Z7" s="94"/>
      <c r="AA7" s="94"/>
      <c r="AB7" s="94"/>
      <c r="AC7" s="94"/>
      <c r="AD7" s="94"/>
      <c r="AE7" s="94"/>
      <c r="AF7" s="94"/>
      <c r="AG7" s="94"/>
      <c r="AH7" s="94"/>
      <c r="AI7" s="94"/>
      <c r="AJ7" s="94"/>
      <c r="AK7" s="94"/>
      <c r="AL7" s="94"/>
      <c r="AM7" s="94"/>
      <c r="AN7" s="94"/>
      <c r="AO7" s="94"/>
      <c r="AP7" s="94"/>
      <c r="AQ7" s="94"/>
      <c r="AR7" s="94"/>
      <c r="AS7" s="94"/>
      <c r="AT7" s="94"/>
      <c r="AU7" s="94"/>
      <c r="AV7" s="94"/>
      <c r="AW7" s="94"/>
      <c r="AX7" s="94"/>
      <c r="AY7" s="94"/>
      <c r="AZ7" s="94"/>
    </row>
    <row r="8" spans="1:52" s="95" customFormat="1" ht="20.25" customHeight="1">
      <c r="A8" s="260">
        <v>1</v>
      </c>
      <c r="B8" s="682" t="s">
        <v>1345</v>
      </c>
      <c r="C8" s="262">
        <v>2573</v>
      </c>
      <c r="D8" s="684">
        <v>0.9</v>
      </c>
      <c r="E8" s="680">
        <v>1</v>
      </c>
      <c r="F8" s="680">
        <v>1</v>
      </c>
      <c r="G8" s="684">
        <v>1.8</v>
      </c>
      <c r="H8" s="684">
        <v>1.1000000000000001</v>
      </c>
      <c r="I8" s="681">
        <f>ROUND((C8*D8*E8*F8*G8*H8),2)</f>
        <v>4585.09</v>
      </c>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row>
    <row r="9" spans="1:52" s="95" customFormat="1" ht="15.75" customHeight="1">
      <c r="A9" s="260">
        <v>2</v>
      </c>
      <c r="B9" s="682" t="s">
        <v>1347</v>
      </c>
      <c r="C9" s="262">
        <v>2573</v>
      </c>
      <c r="D9" s="684">
        <v>0.9</v>
      </c>
      <c r="E9" s="685">
        <v>0.5</v>
      </c>
      <c r="F9" s="680">
        <v>1</v>
      </c>
      <c r="G9" s="684">
        <v>1.8</v>
      </c>
      <c r="H9" s="684">
        <v>1.2</v>
      </c>
      <c r="I9" s="681">
        <f>ROUND((C9*D9*E9*F9*G9*H9),2)</f>
        <v>2500.96</v>
      </c>
      <c r="J9" s="96"/>
      <c r="K9" s="94"/>
      <c r="L9" s="94"/>
      <c r="M9" s="94"/>
      <c r="N9" s="94"/>
      <c r="O9" s="94"/>
      <c r="P9" s="94"/>
      <c r="Q9" s="94"/>
      <c r="R9" s="94"/>
      <c r="S9" s="94"/>
      <c r="T9" s="94"/>
      <c r="U9" s="94"/>
      <c r="V9" s="94"/>
      <c r="W9" s="94"/>
      <c r="X9" s="94"/>
      <c r="Y9" s="94"/>
      <c r="Z9" s="94"/>
      <c r="AA9" s="94"/>
      <c r="AB9" s="94"/>
      <c r="AC9" s="94"/>
      <c r="AD9" s="94"/>
      <c r="AE9" s="94"/>
      <c r="AF9" s="94"/>
      <c r="AG9" s="94"/>
      <c r="AH9" s="94"/>
      <c r="AI9" s="94"/>
      <c r="AJ9" s="94"/>
      <c r="AK9" s="94"/>
      <c r="AL9" s="94"/>
      <c r="AM9" s="94"/>
      <c r="AN9" s="94"/>
      <c r="AO9" s="94"/>
      <c r="AP9" s="94"/>
      <c r="AQ9" s="94"/>
      <c r="AR9" s="94"/>
      <c r="AS9" s="94"/>
      <c r="AT9" s="94"/>
      <c r="AU9" s="94"/>
      <c r="AV9" s="94"/>
      <c r="AW9" s="94"/>
      <c r="AX9" s="94"/>
      <c r="AY9" s="94"/>
      <c r="AZ9" s="94"/>
    </row>
    <row r="10" spans="1:52" s="95" customFormat="1" ht="15.75" customHeight="1">
      <c r="A10" s="260">
        <v>3</v>
      </c>
      <c r="B10" s="682" t="s">
        <v>1348</v>
      </c>
      <c r="C10" s="262">
        <v>3509</v>
      </c>
      <c r="D10" s="684">
        <v>0.9</v>
      </c>
      <c r="E10" s="685">
        <v>0.5</v>
      </c>
      <c r="F10" s="680">
        <v>1</v>
      </c>
      <c r="G10" s="684">
        <v>1.8</v>
      </c>
      <c r="H10" s="684">
        <v>1</v>
      </c>
      <c r="I10" s="681">
        <f>ROUND((C10*D10*E10*F10*G10*H10),2)</f>
        <v>2842.29</v>
      </c>
      <c r="J10" s="94"/>
      <c r="K10" s="94"/>
      <c r="L10" s="94"/>
      <c r="M10" s="94"/>
      <c r="N10" s="94"/>
      <c r="O10" s="94"/>
      <c r="P10" s="94"/>
      <c r="Q10" s="94"/>
      <c r="R10" s="94"/>
      <c r="S10" s="94"/>
      <c r="T10" s="94"/>
      <c r="U10" s="94"/>
      <c r="V10" s="94"/>
      <c r="W10" s="94"/>
      <c r="X10" s="94"/>
      <c r="Y10" s="94"/>
      <c r="Z10" s="94"/>
      <c r="AA10" s="94"/>
      <c r="AB10" s="94"/>
      <c r="AC10" s="94"/>
      <c r="AD10" s="94"/>
      <c r="AE10" s="94"/>
      <c r="AF10" s="94"/>
      <c r="AG10" s="94"/>
      <c r="AH10" s="94"/>
      <c r="AI10" s="94"/>
      <c r="AJ10" s="94"/>
      <c r="AK10" s="94"/>
      <c r="AL10" s="94"/>
      <c r="AM10" s="94"/>
      <c r="AN10" s="94"/>
      <c r="AO10" s="94"/>
      <c r="AP10" s="94"/>
      <c r="AQ10" s="94"/>
      <c r="AR10" s="94"/>
      <c r="AS10" s="94"/>
      <c r="AT10" s="94"/>
      <c r="AU10" s="94"/>
      <c r="AV10" s="94"/>
      <c r="AW10" s="94"/>
      <c r="AX10" s="94"/>
      <c r="AY10" s="94"/>
      <c r="AZ10" s="94"/>
    </row>
    <row r="11" spans="1:52" s="95" customFormat="1" ht="15.75" customHeight="1">
      <c r="A11" s="260">
        <v>4</v>
      </c>
      <c r="B11" s="682" t="s">
        <v>1353</v>
      </c>
      <c r="C11" s="262">
        <v>3509</v>
      </c>
      <c r="D11" s="684">
        <v>0.9</v>
      </c>
      <c r="E11" s="683">
        <v>0.95</v>
      </c>
      <c r="F11" s="680">
        <v>1</v>
      </c>
      <c r="G11" s="684">
        <v>1.8</v>
      </c>
      <c r="H11" s="684">
        <v>1</v>
      </c>
      <c r="I11" s="681">
        <f>ROUND((C11*D11*E11*F11*G11*H11),2)</f>
        <v>5400.35</v>
      </c>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row>
    <row r="12" spans="1:52" s="95" customFormat="1" ht="15.75" hidden="1" customHeight="1">
      <c r="A12" s="260">
        <v>5</v>
      </c>
      <c r="B12" s="261"/>
      <c r="C12" s="262"/>
      <c r="D12" s="262"/>
      <c r="E12" s="678"/>
      <c r="F12" s="262"/>
      <c r="G12" s="262"/>
      <c r="H12" s="262"/>
      <c r="I12" s="262"/>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row>
    <row r="13" spans="1:52" s="679" customFormat="1" ht="15.75">
      <c r="A13" s="260"/>
      <c r="B13" s="1853" t="s">
        <v>183</v>
      </c>
      <c r="C13" s="1854"/>
      <c r="D13" s="1854"/>
      <c r="E13" s="1854"/>
      <c r="F13" s="1854"/>
      <c r="G13" s="1854"/>
      <c r="H13" s="1855"/>
      <c r="I13" s="686">
        <f>SUM(I8:I12)+J11</f>
        <v>15328.69</v>
      </c>
      <c r="J13" s="92"/>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c r="AX13" s="92"/>
      <c r="AY13" s="92"/>
      <c r="AZ13" s="92"/>
    </row>
    <row r="14" spans="1:52" ht="14.25" customHeight="1">
      <c r="A14" s="412"/>
      <c r="B14" s="161"/>
      <c r="C14" s="161"/>
      <c r="D14" s="161"/>
      <c r="E14" s="161"/>
      <c r="F14" s="413"/>
      <c r="G14" s="413"/>
      <c r="H14" s="413"/>
      <c r="I14" s="412"/>
    </row>
    <row r="16" spans="1:52" s="207" customFormat="1" ht="15.75">
      <c r="B16" s="674" t="s">
        <v>1077</v>
      </c>
      <c r="C16" s="311"/>
      <c r="D16" s="311"/>
      <c r="E16" s="507"/>
      <c r="F16" s="511"/>
      <c r="G16" s="511"/>
      <c r="H16" s="511"/>
      <c r="I16" s="507" t="s">
        <v>1344</v>
      </c>
    </row>
    <row r="17" spans="2:9" s="207" customFormat="1" ht="18" customHeight="1">
      <c r="B17" s="221"/>
      <c r="C17" s="217"/>
      <c r="D17" s="511"/>
      <c r="E17" s="523" t="s">
        <v>1078</v>
      </c>
      <c r="F17" s="533"/>
      <c r="G17" s="533"/>
      <c r="H17" s="533"/>
      <c r="I17" s="513" t="s">
        <v>1079</v>
      </c>
    </row>
    <row r="18" spans="2:9" s="207" customFormat="1" ht="15.75">
      <c r="B18" s="505" t="s">
        <v>1076</v>
      </c>
      <c r="C18" s="311"/>
      <c r="D18" s="311"/>
      <c r="E18" s="529"/>
      <c r="F18" s="528"/>
      <c r="G18" s="528"/>
      <c r="H18" s="524"/>
      <c r="I18" s="507" t="s">
        <v>1245</v>
      </c>
    </row>
    <row r="19" spans="2:9" s="207" customFormat="1" ht="15.75" customHeight="1">
      <c r="B19" s="221"/>
      <c r="C19" s="217"/>
      <c r="D19" s="511"/>
      <c r="E19" s="523" t="s">
        <v>1078</v>
      </c>
      <c r="F19" s="533"/>
      <c r="G19" s="533"/>
      <c r="H19" s="533"/>
      <c r="I19" s="513" t="s">
        <v>1079</v>
      </c>
    </row>
    <row r="20" spans="2:9" ht="11.25" customHeight="1"/>
    <row r="21" spans="2:9" ht="11.25" customHeight="1"/>
    <row r="22" spans="2:9" ht="15" customHeight="1"/>
    <row r="26" spans="2:9" ht="11.25" customHeight="1"/>
  </sheetData>
  <mergeCells count="7">
    <mergeCell ref="B13:H13"/>
    <mergeCell ref="A3:I3"/>
    <mergeCell ref="A5:A6"/>
    <mergeCell ref="B5:B6"/>
    <mergeCell ref="C5:C6"/>
    <mergeCell ref="D5:H5"/>
    <mergeCell ref="I5:I6"/>
  </mergeCells>
  <phoneticPr fontId="116" type="noConversion"/>
  <pageMargins left="0.70866141732283472" right="0.70866141732283472" top="0.74803149606299213" bottom="0.74803149606299213" header="0.31496062992125984" footer="0.31496062992125984"/>
  <pageSetup paperSize="9" scale="90" orientation="landscape" r:id="rId1"/>
</worksheet>
</file>

<file path=xl/worksheets/sheet34.xml><?xml version="1.0" encoding="utf-8"?>
<worksheet xmlns="http://schemas.openxmlformats.org/spreadsheetml/2006/main" xmlns:r="http://schemas.openxmlformats.org/officeDocument/2006/relationships">
  <sheetPr>
    <tabColor rgb="FF3366FF"/>
    <pageSetUpPr fitToPage="1"/>
  </sheetPr>
  <dimension ref="A1:H41"/>
  <sheetViews>
    <sheetView topLeftCell="A37" zoomScaleNormal="100" workbookViewId="0">
      <selection activeCell="F49" sqref="F49"/>
    </sheetView>
  </sheetViews>
  <sheetFormatPr defaultRowHeight="15"/>
  <cols>
    <col min="1" max="1" width="6.28515625" style="667" bestFit="1" customWidth="1"/>
    <col min="2" max="2" width="36.85546875" style="667" customWidth="1"/>
    <col min="3" max="3" width="8.5703125" style="667" customWidth="1"/>
    <col min="4" max="4" width="16.5703125" style="667" customWidth="1"/>
    <col min="5" max="5" width="14" style="667" customWidth="1"/>
    <col min="6" max="6" width="15.140625" style="667" customWidth="1"/>
    <col min="7" max="8" width="11.5703125" style="667" bestFit="1" customWidth="1"/>
    <col min="9" max="16384" width="9.140625" style="667"/>
  </cols>
  <sheetData>
    <row r="1" spans="1:8" ht="15.75">
      <c r="A1" s="606"/>
      <c r="B1" s="606"/>
      <c r="C1" s="606"/>
      <c r="D1" s="606"/>
      <c r="E1" s="606"/>
      <c r="F1" s="672" t="s">
        <v>959</v>
      </c>
    </row>
    <row r="2" spans="1:8" ht="15.75">
      <c r="A2" s="606"/>
      <c r="B2" s="606"/>
      <c r="C2" s="606"/>
      <c r="D2" s="606"/>
      <c r="E2" s="606"/>
      <c r="F2" s="672"/>
    </row>
    <row r="3" spans="1:8" ht="54.75" customHeight="1">
      <c r="A3" s="1509" t="s">
        <v>1818</v>
      </c>
      <c r="B3" s="1509"/>
      <c r="C3" s="1509"/>
      <c r="D3" s="1509"/>
      <c r="E3" s="1509"/>
      <c r="F3" s="1509"/>
    </row>
    <row r="4" spans="1:8" ht="15.75" customHeight="1">
      <c r="A4" s="606"/>
      <c r="B4" s="409"/>
      <c r="C4" s="409"/>
      <c r="D4" s="409"/>
      <c r="E4" s="409"/>
      <c r="F4" s="409"/>
    </row>
    <row r="5" spans="1:8" ht="63">
      <c r="A5" s="268" t="s">
        <v>1267</v>
      </c>
      <c r="B5" s="268" t="s">
        <v>1528</v>
      </c>
      <c r="C5" s="689" t="s">
        <v>1017</v>
      </c>
      <c r="D5" s="268" t="s">
        <v>1018</v>
      </c>
      <c r="E5" s="268" t="s">
        <v>1529</v>
      </c>
      <c r="F5" s="268" t="s">
        <v>1019</v>
      </c>
    </row>
    <row r="6" spans="1:8" ht="15.75">
      <c r="A6" s="690">
        <v>1</v>
      </c>
      <c r="B6" s="690">
        <v>2</v>
      </c>
      <c r="C6" s="690">
        <v>3</v>
      </c>
      <c r="D6" s="673">
        <v>4</v>
      </c>
      <c r="E6" s="673">
        <v>5</v>
      </c>
      <c r="F6" s="673">
        <v>6</v>
      </c>
    </row>
    <row r="7" spans="1:8" ht="31.5">
      <c r="A7" s="691">
        <v>1</v>
      </c>
      <c r="B7" s="692" t="s">
        <v>1354</v>
      </c>
      <c r="C7" s="693" t="s">
        <v>1326</v>
      </c>
      <c r="D7" s="689">
        <v>37</v>
      </c>
      <c r="E7" s="689">
        <v>107</v>
      </c>
      <c r="F7" s="687">
        <f t="shared" ref="F7:F34" si="0">D7*E7</f>
        <v>3959</v>
      </c>
    </row>
    <row r="8" spans="1:8" ht="47.25">
      <c r="A8" s="691">
        <f>A7+1</f>
        <v>2</v>
      </c>
      <c r="B8" s="692" t="s">
        <v>1355</v>
      </c>
      <c r="C8" s="693" t="s">
        <v>1326</v>
      </c>
      <c r="D8" s="689">
        <v>51</v>
      </c>
      <c r="E8" s="689">
        <v>102</v>
      </c>
      <c r="F8" s="687">
        <f t="shared" si="0"/>
        <v>5202</v>
      </c>
    </row>
    <row r="9" spans="1:8" ht="47.25">
      <c r="A9" s="691">
        <f t="shared" ref="A9:A34" si="1">A8+1</f>
        <v>3</v>
      </c>
      <c r="B9" s="692" t="s">
        <v>1325</v>
      </c>
      <c r="C9" s="693" t="s">
        <v>1326</v>
      </c>
      <c r="D9" s="689">
        <v>57</v>
      </c>
      <c r="E9" s="689">
        <v>88</v>
      </c>
      <c r="F9" s="687">
        <f t="shared" si="0"/>
        <v>5016</v>
      </c>
    </row>
    <row r="10" spans="1:8" ht="47.25">
      <c r="A10" s="691">
        <f t="shared" si="1"/>
        <v>4</v>
      </c>
      <c r="B10" s="692" t="s">
        <v>1330</v>
      </c>
      <c r="C10" s="693" t="s">
        <v>1326</v>
      </c>
      <c r="D10" s="689">
        <v>57</v>
      </c>
      <c r="E10" s="689">
        <v>91</v>
      </c>
      <c r="F10" s="687">
        <f t="shared" si="0"/>
        <v>5187</v>
      </c>
    </row>
    <row r="11" spans="1:8" ht="31.5">
      <c r="A11" s="691">
        <f t="shared" si="1"/>
        <v>5</v>
      </c>
      <c r="B11" s="692" t="s">
        <v>1328</v>
      </c>
      <c r="C11" s="693" t="s">
        <v>1326</v>
      </c>
      <c r="D11" s="689">
        <v>57</v>
      </c>
      <c r="E11" s="689">
        <v>138</v>
      </c>
      <c r="F11" s="687">
        <f t="shared" si="0"/>
        <v>7866</v>
      </c>
    </row>
    <row r="12" spans="1:8" ht="31.5">
      <c r="A12" s="691">
        <f t="shared" si="1"/>
        <v>6</v>
      </c>
      <c r="B12" s="692" t="s">
        <v>1329</v>
      </c>
      <c r="C12" s="693" t="s">
        <v>1326</v>
      </c>
      <c r="D12" s="689">
        <v>57</v>
      </c>
      <c r="E12" s="689">
        <v>132</v>
      </c>
      <c r="F12" s="687">
        <f t="shared" si="0"/>
        <v>7524</v>
      </c>
    </row>
    <row r="13" spans="1:8" ht="31.5">
      <c r="A13" s="691">
        <f t="shared" si="1"/>
        <v>7</v>
      </c>
      <c r="B13" s="692" t="s">
        <v>1327</v>
      </c>
      <c r="C13" s="693" t="s">
        <v>1326</v>
      </c>
      <c r="D13" s="689">
        <v>57</v>
      </c>
      <c r="E13" s="689">
        <v>151</v>
      </c>
      <c r="F13" s="687">
        <f t="shared" si="0"/>
        <v>8607</v>
      </c>
    </row>
    <row r="14" spans="1:8" ht="31.5">
      <c r="A14" s="691">
        <f t="shared" si="1"/>
        <v>8</v>
      </c>
      <c r="B14" s="692" t="s">
        <v>1335</v>
      </c>
      <c r="C14" s="693" t="s">
        <v>1326</v>
      </c>
      <c r="D14" s="689">
        <v>25</v>
      </c>
      <c r="E14" s="689">
        <v>104</v>
      </c>
      <c r="F14" s="687">
        <f t="shared" si="0"/>
        <v>2600</v>
      </c>
      <c r="G14" s="694"/>
      <c r="H14" s="694"/>
    </row>
    <row r="15" spans="1:8" ht="31.5">
      <c r="A15" s="691">
        <f t="shared" si="1"/>
        <v>9</v>
      </c>
      <c r="B15" s="692" t="s">
        <v>1334</v>
      </c>
      <c r="C15" s="693" t="s">
        <v>1326</v>
      </c>
      <c r="D15" s="689">
        <v>27</v>
      </c>
      <c r="E15" s="689">
        <v>91</v>
      </c>
      <c r="F15" s="687">
        <f t="shared" si="0"/>
        <v>2457</v>
      </c>
      <c r="G15" s="694"/>
      <c r="H15" s="694"/>
    </row>
    <row r="16" spans="1:8" ht="31.5">
      <c r="A16" s="691">
        <f t="shared" si="1"/>
        <v>10</v>
      </c>
      <c r="B16" s="692" t="s">
        <v>1336</v>
      </c>
      <c r="C16" s="693" t="s">
        <v>1326</v>
      </c>
      <c r="D16" s="689">
        <v>25</v>
      </c>
      <c r="E16" s="689">
        <v>92</v>
      </c>
      <c r="F16" s="687">
        <f t="shared" si="0"/>
        <v>2300</v>
      </c>
      <c r="G16" s="694"/>
      <c r="H16" s="694"/>
    </row>
    <row r="17" spans="1:8" ht="31.5">
      <c r="A17" s="691">
        <f t="shared" si="1"/>
        <v>11</v>
      </c>
      <c r="B17" s="692" t="s">
        <v>1356</v>
      </c>
      <c r="C17" s="693" t="s">
        <v>1326</v>
      </c>
      <c r="D17" s="689">
        <v>32</v>
      </c>
      <c r="E17" s="689">
        <v>111</v>
      </c>
      <c r="F17" s="687">
        <f t="shared" si="0"/>
        <v>3552</v>
      </c>
      <c r="G17" s="694"/>
      <c r="H17" s="694"/>
    </row>
    <row r="18" spans="1:8" ht="31.5">
      <c r="A18" s="691">
        <f t="shared" si="1"/>
        <v>12</v>
      </c>
      <c r="B18" s="692" t="s">
        <v>1333</v>
      </c>
      <c r="C18" s="693" t="s">
        <v>1326</v>
      </c>
      <c r="D18" s="689">
        <v>51</v>
      </c>
      <c r="E18" s="689">
        <v>145</v>
      </c>
      <c r="F18" s="687">
        <f t="shared" si="0"/>
        <v>7395</v>
      </c>
      <c r="G18" s="694"/>
    </row>
    <row r="19" spans="1:8" ht="68.25" customHeight="1">
      <c r="A19" s="691">
        <f t="shared" si="1"/>
        <v>13</v>
      </c>
      <c r="B19" s="692" t="s">
        <v>1357</v>
      </c>
      <c r="C19" s="693" t="s">
        <v>1326</v>
      </c>
      <c r="D19" s="689">
        <v>51</v>
      </c>
      <c r="E19" s="689">
        <v>208</v>
      </c>
      <c r="F19" s="687">
        <f t="shared" si="0"/>
        <v>10608</v>
      </c>
    </row>
    <row r="20" spans="1:8" ht="32.25" customHeight="1">
      <c r="A20" s="691">
        <f t="shared" si="1"/>
        <v>14</v>
      </c>
      <c r="B20" s="692" t="s">
        <v>1358</v>
      </c>
      <c r="C20" s="693" t="s">
        <v>1326</v>
      </c>
      <c r="D20" s="689">
        <v>37</v>
      </c>
      <c r="E20" s="689">
        <v>84</v>
      </c>
      <c r="F20" s="687">
        <f t="shared" si="0"/>
        <v>3108</v>
      </c>
    </row>
    <row r="21" spans="1:8" ht="31.5">
      <c r="A21" s="691">
        <f t="shared" si="1"/>
        <v>15</v>
      </c>
      <c r="B21" s="692" t="s">
        <v>1332</v>
      </c>
      <c r="C21" s="693" t="s">
        <v>1326</v>
      </c>
      <c r="D21" s="689">
        <v>37</v>
      </c>
      <c r="E21" s="689">
        <v>148</v>
      </c>
      <c r="F21" s="687">
        <f t="shared" si="0"/>
        <v>5476</v>
      </c>
    </row>
    <row r="22" spans="1:8" ht="31.5">
      <c r="A22" s="691">
        <f t="shared" si="1"/>
        <v>16</v>
      </c>
      <c r="B22" s="692" t="s">
        <v>1331</v>
      </c>
      <c r="C22" s="693" t="s">
        <v>1326</v>
      </c>
      <c r="D22" s="689">
        <v>37</v>
      </c>
      <c r="E22" s="689">
        <v>61</v>
      </c>
      <c r="F22" s="687">
        <f t="shared" si="0"/>
        <v>2257</v>
      </c>
    </row>
    <row r="23" spans="1:8" ht="17.25" customHeight="1">
      <c r="A23" s="691">
        <f t="shared" si="1"/>
        <v>17</v>
      </c>
      <c r="B23" s="692" t="s">
        <v>1393</v>
      </c>
      <c r="C23" s="693" t="s">
        <v>1326</v>
      </c>
      <c r="D23" s="689">
        <v>37</v>
      </c>
      <c r="E23" s="689">
        <v>144</v>
      </c>
      <c r="F23" s="687">
        <f t="shared" si="0"/>
        <v>5328</v>
      </c>
    </row>
    <row r="24" spans="1:8" ht="17.25" customHeight="1">
      <c r="A24" s="691">
        <f t="shared" si="1"/>
        <v>18</v>
      </c>
      <c r="B24" s="692" t="s">
        <v>1394</v>
      </c>
      <c r="C24" s="693" t="s">
        <v>1326</v>
      </c>
      <c r="D24" s="689">
        <v>37</v>
      </c>
      <c r="E24" s="689">
        <v>136</v>
      </c>
      <c r="F24" s="687">
        <f t="shared" si="0"/>
        <v>5032</v>
      </c>
    </row>
    <row r="25" spans="1:8" ht="17.25" customHeight="1">
      <c r="A25" s="691">
        <f t="shared" si="1"/>
        <v>19</v>
      </c>
      <c r="B25" s="692" t="s">
        <v>1395</v>
      </c>
      <c r="C25" s="693" t="s">
        <v>1326</v>
      </c>
      <c r="D25" s="689">
        <v>14</v>
      </c>
      <c r="E25" s="689">
        <v>252</v>
      </c>
      <c r="F25" s="687">
        <f t="shared" si="0"/>
        <v>3528</v>
      </c>
    </row>
    <row r="26" spans="1:8" ht="63.75" customHeight="1">
      <c r="A26" s="691">
        <f t="shared" si="1"/>
        <v>20</v>
      </c>
      <c r="B26" s="692" t="s">
        <v>58</v>
      </c>
      <c r="C26" s="693" t="s">
        <v>1326</v>
      </c>
      <c r="D26" s="689">
        <v>14</v>
      </c>
      <c r="E26" s="689">
        <v>343</v>
      </c>
      <c r="F26" s="687">
        <f t="shared" si="0"/>
        <v>4802</v>
      </c>
    </row>
    <row r="27" spans="1:8" ht="15.75">
      <c r="A27" s="691">
        <f t="shared" si="1"/>
        <v>21</v>
      </c>
      <c r="B27" s="692" t="s">
        <v>59</v>
      </c>
      <c r="C27" s="693" t="s">
        <v>1326</v>
      </c>
      <c r="D27" s="689">
        <v>42</v>
      </c>
      <c r="E27" s="689">
        <v>163</v>
      </c>
      <c r="F27" s="687">
        <f t="shared" si="0"/>
        <v>6846</v>
      </c>
    </row>
    <row r="28" spans="1:8" ht="47.25">
      <c r="A28" s="691">
        <f t="shared" si="1"/>
        <v>22</v>
      </c>
      <c r="B28" s="692" t="s">
        <v>60</v>
      </c>
      <c r="C28" s="693" t="s">
        <v>1326</v>
      </c>
      <c r="D28" s="689">
        <v>42</v>
      </c>
      <c r="E28" s="689">
        <v>110</v>
      </c>
      <c r="F28" s="687">
        <f t="shared" si="0"/>
        <v>4620</v>
      </c>
    </row>
    <row r="29" spans="1:8" ht="31.5">
      <c r="A29" s="691">
        <f t="shared" si="1"/>
        <v>23</v>
      </c>
      <c r="B29" s="692" t="s">
        <v>61</v>
      </c>
      <c r="C29" s="693" t="s">
        <v>1326</v>
      </c>
      <c r="D29" s="689">
        <v>2</v>
      </c>
      <c r="E29" s="689">
        <v>209</v>
      </c>
      <c r="F29" s="687">
        <f t="shared" si="0"/>
        <v>418</v>
      </c>
    </row>
    <row r="30" spans="1:8" ht="31.5">
      <c r="A30" s="691">
        <f t="shared" si="1"/>
        <v>24</v>
      </c>
      <c r="B30" s="692" t="s">
        <v>62</v>
      </c>
      <c r="C30" s="693" t="s">
        <v>1326</v>
      </c>
      <c r="D30" s="689">
        <v>2</v>
      </c>
      <c r="E30" s="689">
        <v>255</v>
      </c>
      <c r="F30" s="687">
        <f t="shared" si="0"/>
        <v>510</v>
      </c>
    </row>
    <row r="31" spans="1:8" ht="31.5">
      <c r="A31" s="691">
        <f t="shared" si="1"/>
        <v>25</v>
      </c>
      <c r="B31" s="692" t="s">
        <v>63</v>
      </c>
      <c r="C31" s="693" t="s">
        <v>1326</v>
      </c>
      <c r="D31" s="689">
        <v>9</v>
      </c>
      <c r="E31" s="689">
        <v>58</v>
      </c>
      <c r="F31" s="687">
        <f t="shared" si="0"/>
        <v>522</v>
      </c>
    </row>
    <row r="32" spans="1:8" ht="31.5">
      <c r="A32" s="691">
        <f t="shared" si="1"/>
        <v>26</v>
      </c>
      <c r="B32" s="692" t="s">
        <v>64</v>
      </c>
      <c r="C32" s="693" t="s">
        <v>1326</v>
      </c>
      <c r="D32" s="689">
        <v>57</v>
      </c>
      <c r="E32" s="689">
        <v>91</v>
      </c>
      <c r="F32" s="687">
        <f t="shared" si="0"/>
        <v>5187</v>
      </c>
    </row>
    <row r="33" spans="1:8" ht="94.5">
      <c r="A33" s="691">
        <f t="shared" si="1"/>
        <v>27</v>
      </c>
      <c r="B33" s="692" t="s">
        <v>231</v>
      </c>
      <c r="C33" s="693" t="s">
        <v>1326</v>
      </c>
      <c r="D33" s="689">
        <v>57</v>
      </c>
      <c r="E33" s="689">
        <v>95</v>
      </c>
      <c r="F33" s="687">
        <f t="shared" si="0"/>
        <v>5415</v>
      </c>
    </row>
    <row r="34" spans="1:8" ht="15.75">
      <c r="A34" s="691">
        <f t="shared" si="1"/>
        <v>28</v>
      </c>
      <c r="B34" s="692" t="s">
        <v>232</v>
      </c>
      <c r="C34" s="693" t="s">
        <v>1326</v>
      </c>
      <c r="D34" s="689">
        <v>15</v>
      </c>
      <c r="E34" s="689">
        <v>494</v>
      </c>
      <c r="F34" s="687">
        <f t="shared" si="0"/>
        <v>7410</v>
      </c>
    </row>
    <row r="35" spans="1:8" ht="15.75">
      <c r="A35" s="693"/>
      <c r="B35" s="1846" t="s">
        <v>183</v>
      </c>
      <c r="C35" s="1847"/>
      <c r="D35" s="1847"/>
      <c r="E35" s="1848"/>
      <c r="F35" s="688">
        <f>SUM(F7:F34)</f>
        <v>132732</v>
      </c>
    </row>
    <row r="37" spans="1:8" s="671" customFormat="1" ht="15.75">
      <c r="B37" s="695" t="s">
        <v>1077</v>
      </c>
      <c r="C37" s="664"/>
      <c r="D37" s="696"/>
      <c r="E37" s="1825" t="s">
        <v>1344</v>
      </c>
      <c r="F37" s="1825"/>
      <c r="G37" s="697"/>
      <c r="H37" s="664"/>
    </row>
    <row r="38" spans="1:8" s="671" customFormat="1" ht="15" customHeight="1">
      <c r="B38" s="670"/>
      <c r="C38" s="698"/>
      <c r="D38" s="699" t="s">
        <v>1078</v>
      </c>
      <c r="E38" s="1812" t="s">
        <v>1079</v>
      </c>
      <c r="F38" s="1812"/>
      <c r="G38" s="697"/>
      <c r="H38" s="697"/>
    </row>
    <row r="39" spans="1:8" s="671" customFormat="1" ht="15.75">
      <c r="B39" s="700" t="s">
        <v>1076</v>
      </c>
      <c r="C39" s="664"/>
      <c r="D39" s="701"/>
      <c r="E39" s="1825" t="s">
        <v>1245</v>
      </c>
      <c r="F39" s="1825"/>
      <c r="G39" s="702"/>
      <c r="H39" s="664"/>
    </row>
    <row r="40" spans="1:8" s="671" customFormat="1" ht="18" customHeight="1">
      <c r="B40" s="670"/>
      <c r="C40" s="698"/>
      <c r="D40" s="699" t="s">
        <v>1078</v>
      </c>
      <c r="E40" s="1812" t="s">
        <v>1079</v>
      </c>
      <c r="F40" s="1812"/>
      <c r="G40" s="697"/>
      <c r="H40" s="697"/>
    </row>
    <row r="41" spans="1:8">
      <c r="D41" s="675"/>
      <c r="E41" s="675"/>
      <c r="F41" s="675"/>
    </row>
  </sheetData>
  <mergeCells count="6">
    <mergeCell ref="E40:F40"/>
    <mergeCell ref="A3:F3"/>
    <mergeCell ref="B35:E35"/>
    <mergeCell ref="E37:F37"/>
    <mergeCell ref="E38:F38"/>
    <mergeCell ref="E39:F39"/>
  </mergeCells>
  <phoneticPr fontId="116" type="noConversion"/>
  <pageMargins left="0.59055118110236227" right="0" top="0.59055118110236227" bottom="0.59055118110236227" header="0.31496062992125984" footer="0.31496062992125984"/>
  <pageSetup paperSize="9" scale="98" fitToHeight="0" orientation="portrait" r:id="rId1"/>
</worksheet>
</file>

<file path=xl/worksheets/sheet35.xml><?xml version="1.0" encoding="utf-8"?>
<worksheet xmlns="http://schemas.openxmlformats.org/spreadsheetml/2006/main" xmlns:r="http://schemas.openxmlformats.org/officeDocument/2006/relationships">
  <sheetPr>
    <tabColor theme="9" tint="-0.249977111117893"/>
  </sheetPr>
  <dimension ref="A1:G33"/>
  <sheetViews>
    <sheetView view="pageBreakPreview" topLeftCell="A27" zoomScale="95" zoomScaleNormal="100" zoomScaleSheetLayoutView="95" workbookViewId="0">
      <selection activeCell="D27" sqref="D27"/>
    </sheetView>
  </sheetViews>
  <sheetFormatPr defaultRowHeight="15"/>
  <cols>
    <col min="1" max="1" width="5.7109375" style="26" customWidth="1"/>
    <col min="2" max="2" width="63" style="26" customWidth="1"/>
    <col min="3" max="3" width="22.28515625" style="72" customWidth="1"/>
    <col min="4" max="4" width="16.28515625" style="26" customWidth="1"/>
    <col min="5" max="5" width="14" style="26" bestFit="1" customWidth="1"/>
    <col min="6" max="6" width="15.5703125" style="26" bestFit="1" customWidth="1"/>
    <col min="7" max="7" width="14" style="26" bestFit="1" customWidth="1"/>
    <col min="8" max="16384" width="9.140625" style="26"/>
  </cols>
  <sheetData>
    <row r="1" spans="1:7" ht="15.75">
      <c r="A1" s="161"/>
      <c r="B1" s="161"/>
      <c r="C1" s="209" t="s">
        <v>960</v>
      </c>
    </row>
    <row r="2" spans="1:7" ht="15.75">
      <c r="A2" s="161"/>
      <c r="B2" s="161"/>
      <c r="C2" s="209"/>
    </row>
    <row r="3" spans="1:7" ht="52.5" customHeight="1">
      <c r="A3" s="1861" t="s">
        <v>33</v>
      </c>
      <c r="B3" s="1861"/>
      <c r="C3" s="1861"/>
    </row>
    <row r="4" spans="1:7" ht="15.75">
      <c r="A4" s="1862" t="s">
        <v>749</v>
      </c>
      <c r="B4" s="1862"/>
      <c r="C4" s="1862"/>
    </row>
    <row r="5" spans="1:7" s="71" customFormat="1" ht="31.5">
      <c r="A5" s="228" t="s">
        <v>1267</v>
      </c>
      <c r="B5" s="228" t="s">
        <v>218</v>
      </c>
      <c r="C5" s="253" t="s">
        <v>1742</v>
      </c>
    </row>
    <row r="6" spans="1:7" s="71" customFormat="1" ht="15.75">
      <c r="A6" s="228">
        <v>1</v>
      </c>
      <c r="B6" s="228">
        <v>2</v>
      </c>
      <c r="C6" s="254">
        <v>3</v>
      </c>
    </row>
    <row r="7" spans="1:7" ht="15.75">
      <c r="A7" s="255">
        <v>1</v>
      </c>
      <c r="B7" s="243" t="s">
        <v>1802</v>
      </c>
      <c r="C7" s="147"/>
    </row>
    <row r="8" spans="1:7" ht="15.75">
      <c r="A8" s="255">
        <f>A7+1</f>
        <v>2</v>
      </c>
      <c r="B8" s="243" t="s">
        <v>1096</v>
      </c>
      <c r="C8" s="147"/>
    </row>
    <row r="9" spans="1:7" ht="31.5">
      <c r="A9" s="255">
        <v>3</v>
      </c>
      <c r="B9" s="517" t="s">
        <v>474</v>
      </c>
      <c r="C9" s="1120">
        <f ca="1">'340 мат. запасы 2018'!F271</f>
        <v>492450.11999999994</v>
      </c>
      <c r="D9" s="1121">
        <f>23355.36+693+2112.6</f>
        <v>26160.959999999999</v>
      </c>
      <c r="E9" s="1122"/>
      <c r="F9" s="1122"/>
      <c r="G9" s="1123">
        <f>D9-C9</f>
        <v>-466289.15999999992</v>
      </c>
    </row>
    <row r="10" spans="1:7" ht="31.5">
      <c r="A10" s="255">
        <v>4</v>
      </c>
      <c r="B10" s="517" t="s">
        <v>1020</v>
      </c>
      <c r="C10" s="1120">
        <f ca="1">'340 гсм'!L12+'340 гсм'!G46</f>
        <v>897044.66000000015</v>
      </c>
      <c r="D10" s="1121">
        <v>184345.2</v>
      </c>
      <c r="E10" s="1122"/>
      <c r="F10" s="1122"/>
      <c r="G10" s="1123">
        <f>D10-C10</f>
        <v>-712699.4600000002</v>
      </c>
    </row>
    <row r="11" spans="1:7" ht="31.5" hidden="1">
      <c r="A11" s="255">
        <f t="shared" ref="A11:A26" si="0">A10+1</f>
        <v>5</v>
      </c>
      <c r="B11" s="517" t="s">
        <v>1021</v>
      </c>
      <c r="C11" s="1120">
        <f>'[7]Мягкий инв.ОБЩ'!F20</f>
        <v>0</v>
      </c>
      <c r="D11" s="1122"/>
      <c r="E11" s="1122"/>
      <c r="F11" s="1122"/>
      <c r="G11" s="1122"/>
    </row>
    <row r="12" spans="1:7" ht="31.5">
      <c r="A12" s="255">
        <v>5</v>
      </c>
      <c r="B12" s="517" t="s">
        <v>1022</v>
      </c>
      <c r="C12" s="1120">
        <f ca="1">'Мягкий инв2018'!K64</f>
        <v>759373.98</v>
      </c>
      <c r="D12" s="1122"/>
      <c r="E12" s="1122"/>
      <c r="F12" s="1122"/>
      <c r="G12" s="1122"/>
    </row>
    <row r="13" spans="1:7" ht="31.5">
      <c r="A13" s="255">
        <f t="shared" si="0"/>
        <v>6</v>
      </c>
      <c r="B13" s="517" t="s">
        <v>1023</v>
      </c>
      <c r="C13" s="519">
        <f ca="1">'спецодежда(2018) '!K54</f>
        <v>17019.75</v>
      </c>
      <c r="D13" s="1122"/>
      <c r="E13" s="1122"/>
      <c r="F13" s="1122"/>
      <c r="G13" s="1122"/>
    </row>
    <row r="14" spans="1:7" ht="31.5" hidden="1">
      <c r="A14" s="255">
        <f t="shared" si="0"/>
        <v>7</v>
      </c>
      <c r="B14" s="517" t="s">
        <v>1024</v>
      </c>
      <c r="C14" s="1120">
        <f>'[7]340 мат. запасы УЧ.ЦЕЛИ'!F26</f>
        <v>0</v>
      </c>
      <c r="D14" s="1122"/>
      <c r="E14" s="1122"/>
      <c r="F14" s="1122"/>
      <c r="G14" s="1122"/>
    </row>
    <row r="15" spans="1:7" ht="18.75" customHeight="1">
      <c r="A15" s="255">
        <v>7</v>
      </c>
      <c r="B15" s="517" t="s">
        <v>1025</v>
      </c>
      <c r="C15" s="1120">
        <f ca="1">'340 пит прих 2018(7-10)'!F37+'340 пит прих 2018(11-18)'!F37+'340 пит интер 2018 ( 7-10)'!F37+'340 пит интер 2018 ( 11-18)'!F37</f>
        <v>2337902.96</v>
      </c>
      <c r="D15" s="1121">
        <v>764650.08</v>
      </c>
      <c r="E15" s="1122">
        <v>-155015.6</v>
      </c>
      <c r="F15" s="1123">
        <f>D15+E15</f>
        <v>609634.48</v>
      </c>
      <c r="G15" s="1123">
        <f>F15-C15</f>
        <v>-1728268.48</v>
      </c>
    </row>
    <row r="16" spans="1:7" ht="15.75" hidden="1">
      <c r="A16" s="255">
        <f t="shared" si="0"/>
        <v>8</v>
      </c>
      <c r="B16" s="257"/>
      <c r="C16" s="264"/>
      <c r="D16" s="1122"/>
      <c r="E16" s="1122"/>
      <c r="F16" s="1122"/>
      <c r="G16" s="1122"/>
    </row>
    <row r="17" spans="1:7" ht="15.75" hidden="1">
      <c r="A17" s="255">
        <f t="shared" si="0"/>
        <v>9</v>
      </c>
      <c r="B17" s="257"/>
      <c r="C17" s="256"/>
      <c r="D17" s="1122"/>
      <c r="E17" s="1122"/>
      <c r="F17" s="1122"/>
      <c r="G17" s="1122"/>
    </row>
    <row r="18" spans="1:7" ht="15.75" hidden="1">
      <c r="A18" s="255">
        <f t="shared" si="0"/>
        <v>10</v>
      </c>
      <c r="B18" s="257"/>
      <c r="C18" s="256"/>
      <c r="D18" s="1122"/>
      <c r="E18" s="1122"/>
      <c r="F18" s="1122"/>
      <c r="G18" s="1122"/>
    </row>
    <row r="19" spans="1:7" ht="15.75" hidden="1">
      <c r="A19" s="255">
        <f t="shared" si="0"/>
        <v>11</v>
      </c>
      <c r="B19" s="257"/>
      <c r="C19" s="256"/>
      <c r="D19" s="1122"/>
      <c r="E19" s="1122"/>
      <c r="F19" s="1122"/>
      <c r="G19" s="1122"/>
    </row>
    <row r="20" spans="1:7" ht="15.75" hidden="1">
      <c r="A20" s="255">
        <f t="shared" si="0"/>
        <v>12</v>
      </c>
      <c r="B20" s="257"/>
      <c r="C20" s="256"/>
      <c r="D20" s="1122"/>
      <c r="E20" s="1122"/>
      <c r="F20" s="1122"/>
      <c r="G20" s="1122"/>
    </row>
    <row r="21" spans="1:7" ht="15.75" hidden="1">
      <c r="A21" s="255">
        <f t="shared" si="0"/>
        <v>13</v>
      </c>
      <c r="B21" s="257"/>
      <c r="C21" s="256"/>
      <c r="D21" s="1122"/>
      <c r="E21" s="1122"/>
      <c r="F21" s="1122"/>
      <c r="G21" s="1122"/>
    </row>
    <row r="22" spans="1:7" ht="15.75" hidden="1">
      <c r="A22" s="255">
        <f t="shared" si="0"/>
        <v>14</v>
      </c>
      <c r="B22" s="257"/>
      <c r="C22" s="256"/>
      <c r="D22" s="1122"/>
      <c r="E22" s="1122"/>
      <c r="F22" s="1122"/>
      <c r="G22" s="1122"/>
    </row>
    <row r="23" spans="1:7" ht="15.75" hidden="1">
      <c r="A23" s="255">
        <f t="shared" si="0"/>
        <v>15</v>
      </c>
      <c r="B23" s="257"/>
      <c r="C23" s="256"/>
      <c r="D23" s="1122"/>
      <c r="E23" s="1122"/>
      <c r="F23" s="1122"/>
      <c r="G23" s="1122"/>
    </row>
    <row r="24" spans="1:7" ht="15.75" hidden="1">
      <c r="A24" s="255">
        <f t="shared" si="0"/>
        <v>16</v>
      </c>
      <c r="B24" s="257"/>
      <c r="C24" s="256"/>
      <c r="D24" s="1122"/>
      <c r="E24" s="1122"/>
      <c r="F24" s="1122"/>
      <c r="G24" s="1122"/>
    </row>
    <row r="25" spans="1:7" ht="15.75" hidden="1">
      <c r="A25" s="255">
        <f t="shared" si="0"/>
        <v>17</v>
      </c>
      <c r="B25" s="257"/>
      <c r="C25" s="256"/>
      <c r="D25" s="1122"/>
      <c r="E25" s="1122"/>
      <c r="F25" s="1122"/>
      <c r="G25" s="1122"/>
    </row>
    <row r="26" spans="1:7" ht="15.75" hidden="1">
      <c r="A26" s="255">
        <f t="shared" si="0"/>
        <v>18</v>
      </c>
      <c r="B26" s="257"/>
      <c r="C26" s="256"/>
      <c r="D26" s="1122"/>
      <c r="E26" s="1122"/>
      <c r="F26" s="1122"/>
      <c r="G26" s="1122"/>
    </row>
    <row r="27" spans="1:7" ht="15.75">
      <c r="A27" s="1863" t="s">
        <v>183</v>
      </c>
      <c r="B27" s="1864"/>
      <c r="C27" s="248">
        <f>SUM(C7:C26)</f>
        <v>4503791.47</v>
      </c>
      <c r="D27" s="1121">
        <f>SUM(D9:D15)</f>
        <v>975156.24</v>
      </c>
      <c r="E27" s="1121">
        <f>SUM(E9:E15)</f>
        <v>-155015.6</v>
      </c>
      <c r="F27" s="1123">
        <f>D27+E27</f>
        <v>820140.64</v>
      </c>
      <c r="G27" s="1123">
        <f>SUM(G9:G15)</f>
        <v>-2907257.1</v>
      </c>
    </row>
    <row r="28" spans="1:7">
      <c r="D28" s="1123">
        <f>D27-C27</f>
        <v>-3528635.2299999995</v>
      </c>
      <c r="E28" s="1122"/>
      <c r="F28" s="1122"/>
      <c r="G28" s="1122"/>
    </row>
    <row r="29" spans="1:7" s="207" customFormat="1" ht="15.75">
      <c r="B29" s="234" t="s">
        <v>1077</v>
      </c>
      <c r="C29" s="507" t="s">
        <v>1040</v>
      </c>
      <c r="D29" s="1124"/>
      <c r="E29" s="1125"/>
      <c r="F29" s="1124"/>
      <c r="G29" s="1126"/>
    </row>
    <row r="30" spans="1:7" s="207" customFormat="1" ht="20.25" customHeight="1">
      <c r="B30" s="531" t="s">
        <v>1078</v>
      </c>
      <c r="C30" s="523" t="s">
        <v>1079</v>
      </c>
      <c r="D30" s="1127"/>
      <c r="E30" s="1128"/>
      <c r="F30" s="1129"/>
      <c r="G30" s="1126"/>
    </row>
    <row r="31" spans="1:7" s="207" customFormat="1" ht="15.75">
      <c r="B31" s="139" t="s">
        <v>1076</v>
      </c>
      <c r="C31" s="529" t="s">
        <v>1245</v>
      </c>
      <c r="D31" s="311"/>
      <c r="E31" s="510"/>
      <c r="F31" s="311"/>
    </row>
    <row r="32" spans="1:7" s="207" customFormat="1" ht="19.5" customHeight="1">
      <c r="B32" s="531" t="s">
        <v>1078</v>
      </c>
      <c r="C32" s="523" t="s">
        <v>1079</v>
      </c>
      <c r="D32" s="217"/>
      <c r="E32" s="510"/>
      <c r="F32" s="511"/>
    </row>
    <row r="33" s="27" customFormat="1"/>
  </sheetData>
  <mergeCells count="3">
    <mergeCell ref="A3:C3"/>
    <mergeCell ref="A4:C4"/>
    <mergeCell ref="A27:B27"/>
  </mergeCells>
  <phoneticPr fontId="116" type="noConversion"/>
  <pageMargins left="0.98425196850393704" right="0.19685039370078741" top="0.78740157480314965" bottom="0.39370078740157483" header="0.51181102362204722" footer="0.51181102362204722"/>
  <pageSetup paperSize="9" scale="99" orientation="portrait" r:id="rId1"/>
  <headerFooter alignWithMargins="0"/>
</worksheet>
</file>

<file path=xl/worksheets/sheet36.xml><?xml version="1.0" encoding="utf-8"?>
<worksheet xmlns="http://schemas.openxmlformats.org/spreadsheetml/2006/main" xmlns:r="http://schemas.openxmlformats.org/officeDocument/2006/relationships">
  <sheetPr>
    <tabColor theme="9" tint="-0.249977111117893"/>
  </sheetPr>
  <dimension ref="A1:G33"/>
  <sheetViews>
    <sheetView view="pageBreakPreview" topLeftCell="A7" zoomScale="95" zoomScaleNormal="100" zoomScaleSheetLayoutView="95" workbookViewId="0">
      <selection activeCell="J32" sqref="J32"/>
    </sheetView>
  </sheetViews>
  <sheetFormatPr defaultRowHeight="15"/>
  <cols>
    <col min="1" max="1" width="5.7109375" style="26" customWidth="1"/>
    <col min="2" max="2" width="63" style="26" customWidth="1"/>
    <col min="3" max="3" width="22.28515625" style="72" customWidth="1"/>
    <col min="4" max="4" width="16.28515625" style="26" customWidth="1"/>
    <col min="5" max="5" width="14" style="26" bestFit="1" customWidth="1"/>
    <col min="6" max="6" width="15.5703125" style="26" bestFit="1" customWidth="1"/>
    <col min="7" max="7" width="14" style="26" bestFit="1" customWidth="1"/>
    <col min="8" max="16384" width="9.140625" style="26"/>
  </cols>
  <sheetData>
    <row r="1" spans="1:7" ht="15.75">
      <c r="A1" s="161"/>
      <c r="B1" s="161"/>
      <c r="C1" s="209" t="s">
        <v>960</v>
      </c>
    </row>
    <row r="2" spans="1:7" ht="15.75">
      <c r="A2" s="161"/>
      <c r="B2" s="161"/>
      <c r="C2" s="209"/>
    </row>
    <row r="3" spans="1:7" ht="52.5" customHeight="1">
      <c r="A3" s="1861" t="s">
        <v>33</v>
      </c>
      <c r="B3" s="1861"/>
      <c r="C3" s="1861"/>
    </row>
    <row r="4" spans="1:7" ht="15.75">
      <c r="A4" s="1862" t="s">
        <v>752</v>
      </c>
      <c r="B4" s="1862"/>
      <c r="C4" s="1862"/>
    </row>
    <row r="5" spans="1:7" s="71" customFormat="1" ht="31.5">
      <c r="A5" s="228" t="s">
        <v>1267</v>
      </c>
      <c r="B5" s="228" t="s">
        <v>218</v>
      </c>
      <c r="C5" s="253" t="s">
        <v>1742</v>
      </c>
    </row>
    <row r="6" spans="1:7" s="71" customFormat="1" ht="15.75">
      <c r="A6" s="228">
        <v>1</v>
      </c>
      <c r="B6" s="228">
        <v>2</v>
      </c>
      <c r="C6" s="254">
        <v>3</v>
      </c>
    </row>
    <row r="7" spans="1:7" ht="15.75">
      <c r="A7" s="255">
        <v>1</v>
      </c>
      <c r="B7" s="243" t="s">
        <v>1802</v>
      </c>
      <c r="C7" s="147"/>
    </row>
    <row r="8" spans="1:7" ht="15.75">
      <c r="A8" s="255">
        <f>A7+1</f>
        <v>2</v>
      </c>
      <c r="B8" s="243" t="s">
        <v>1096</v>
      </c>
      <c r="C8" s="147"/>
    </row>
    <row r="9" spans="1:7" ht="31.5">
      <c r="A9" s="255">
        <v>3</v>
      </c>
      <c r="B9" s="517" t="s">
        <v>474</v>
      </c>
      <c r="C9" s="1120">
        <f ca="1">'340  мат.запасы 2019'!F268</f>
        <v>799839.73</v>
      </c>
      <c r="D9" s="1121">
        <f>23355.36+693+2112.6</f>
        <v>26160.959999999999</v>
      </c>
      <c r="E9" s="1122"/>
      <c r="F9" s="1122"/>
      <c r="G9" s="1123">
        <f>D9-C9</f>
        <v>-773678.77</v>
      </c>
    </row>
    <row r="10" spans="1:7" ht="31.5">
      <c r="A10" s="255">
        <v>4</v>
      </c>
      <c r="B10" s="517" t="s">
        <v>1020</v>
      </c>
      <c r="C10" s="1120">
        <f ca="1">'340 гсм'!L12+'340 гсм'!G46</f>
        <v>897044.66000000015</v>
      </c>
      <c r="D10" s="1121">
        <v>184345.2</v>
      </c>
      <c r="E10" s="1122"/>
      <c r="F10" s="1122"/>
      <c r="G10" s="1123">
        <f>D10-C10</f>
        <v>-712699.4600000002</v>
      </c>
    </row>
    <row r="11" spans="1:7" ht="31.5" hidden="1">
      <c r="A11" s="255">
        <f t="shared" ref="A11:A26" si="0">A10+1</f>
        <v>5</v>
      </c>
      <c r="B11" s="517" t="s">
        <v>1021</v>
      </c>
      <c r="C11" s="1120">
        <f>'[7]Мягкий инв.ОБЩ'!F20</f>
        <v>0</v>
      </c>
      <c r="D11" s="1122"/>
      <c r="E11" s="1122"/>
      <c r="F11" s="1122"/>
      <c r="G11" s="1122"/>
    </row>
    <row r="12" spans="1:7" ht="31.5">
      <c r="A12" s="255">
        <v>5</v>
      </c>
      <c r="B12" s="517" t="s">
        <v>1022</v>
      </c>
      <c r="C12" s="1120">
        <f ca="1">'Мягкий инв 2019'!K64</f>
        <v>813023.96</v>
      </c>
      <c r="D12" s="1122"/>
      <c r="E12" s="1122"/>
      <c r="F12" s="1122"/>
      <c r="G12" s="1122"/>
    </row>
    <row r="13" spans="1:7" ht="31.5">
      <c r="A13" s="255">
        <f t="shared" si="0"/>
        <v>6</v>
      </c>
      <c r="B13" s="517" t="s">
        <v>1023</v>
      </c>
      <c r="C13" s="519">
        <f ca="1">' спецодежда (2019-20)'!K54</f>
        <v>115743.5</v>
      </c>
      <c r="D13" s="1122"/>
      <c r="E13" s="1122"/>
      <c r="F13" s="1122"/>
      <c r="G13" s="1122"/>
    </row>
    <row r="14" spans="1:7" ht="31.5" hidden="1">
      <c r="A14" s="255">
        <f t="shared" si="0"/>
        <v>7</v>
      </c>
      <c r="B14" s="517" t="s">
        <v>1024</v>
      </c>
      <c r="C14" s="1120">
        <f>'[7]340 мат. запасы УЧ.ЦЕЛИ'!F26</f>
        <v>0</v>
      </c>
      <c r="D14" s="1122"/>
      <c r="E14" s="1122"/>
      <c r="F14" s="1122"/>
      <c r="G14" s="1122"/>
    </row>
    <row r="15" spans="1:7" ht="18.75" customHeight="1">
      <c r="A15" s="255">
        <v>7</v>
      </c>
      <c r="B15" s="517" t="s">
        <v>1025</v>
      </c>
      <c r="C15" s="1120">
        <f ca="1">'340 пит прих 2019(7-10)'!F37+'340 пит прих 2019(11-18) '!F37+'340 пит интер 2019 ( 7-10)'!F37+'340 пит интер 2019 ( 11-18) '!F37</f>
        <v>2265770.58</v>
      </c>
      <c r="D15" s="1121">
        <v>764650.08</v>
      </c>
      <c r="E15" s="1122">
        <v>-155015.6</v>
      </c>
      <c r="F15" s="1123">
        <f>D15+E15</f>
        <v>609634.48</v>
      </c>
      <c r="G15" s="1123">
        <f>F15-C15</f>
        <v>-1656136.1</v>
      </c>
    </row>
    <row r="16" spans="1:7" ht="15.75" hidden="1">
      <c r="A16" s="255">
        <f t="shared" si="0"/>
        <v>8</v>
      </c>
      <c r="B16" s="257"/>
      <c r="C16" s="264"/>
      <c r="D16" s="1122"/>
      <c r="E16" s="1122"/>
      <c r="F16" s="1122"/>
      <c r="G16" s="1122"/>
    </row>
    <row r="17" spans="1:7" ht="15.75" hidden="1">
      <c r="A17" s="255">
        <f t="shared" si="0"/>
        <v>9</v>
      </c>
      <c r="B17" s="257"/>
      <c r="C17" s="256"/>
      <c r="D17" s="1122"/>
      <c r="E17" s="1122"/>
      <c r="F17" s="1122"/>
      <c r="G17" s="1122"/>
    </row>
    <row r="18" spans="1:7" ht="15.75" hidden="1">
      <c r="A18" s="255">
        <f t="shared" si="0"/>
        <v>10</v>
      </c>
      <c r="B18" s="257"/>
      <c r="C18" s="256"/>
      <c r="D18" s="1122"/>
      <c r="E18" s="1122"/>
      <c r="F18" s="1122"/>
      <c r="G18" s="1122"/>
    </row>
    <row r="19" spans="1:7" ht="15.75" hidden="1">
      <c r="A19" s="255">
        <f t="shared" si="0"/>
        <v>11</v>
      </c>
      <c r="B19" s="257"/>
      <c r="C19" s="256"/>
      <c r="D19" s="1122"/>
      <c r="E19" s="1122"/>
      <c r="F19" s="1122"/>
      <c r="G19" s="1122"/>
    </row>
    <row r="20" spans="1:7" ht="15.75" hidden="1">
      <c r="A20" s="255">
        <f t="shared" si="0"/>
        <v>12</v>
      </c>
      <c r="B20" s="257"/>
      <c r="C20" s="256"/>
      <c r="D20" s="1122"/>
      <c r="E20" s="1122"/>
      <c r="F20" s="1122"/>
      <c r="G20" s="1122"/>
    </row>
    <row r="21" spans="1:7" ht="15.75" hidden="1">
      <c r="A21" s="255">
        <f t="shared" si="0"/>
        <v>13</v>
      </c>
      <c r="B21" s="257"/>
      <c r="C21" s="256"/>
      <c r="D21" s="1122"/>
      <c r="E21" s="1122"/>
      <c r="F21" s="1122"/>
      <c r="G21" s="1122"/>
    </row>
    <row r="22" spans="1:7" ht="15.75" hidden="1">
      <c r="A22" s="255">
        <f t="shared" si="0"/>
        <v>14</v>
      </c>
      <c r="B22" s="257"/>
      <c r="C22" s="256"/>
      <c r="D22" s="1122"/>
      <c r="E22" s="1122"/>
      <c r="F22" s="1122"/>
      <c r="G22" s="1122"/>
    </row>
    <row r="23" spans="1:7" ht="15.75" hidden="1">
      <c r="A23" s="255">
        <f t="shared" si="0"/>
        <v>15</v>
      </c>
      <c r="B23" s="257"/>
      <c r="C23" s="256"/>
      <c r="D23" s="1122"/>
      <c r="E23" s="1122"/>
      <c r="F23" s="1122"/>
      <c r="G23" s="1122"/>
    </row>
    <row r="24" spans="1:7" ht="15.75" hidden="1">
      <c r="A24" s="255">
        <f t="shared" si="0"/>
        <v>16</v>
      </c>
      <c r="B24" s="257"/>
      <c r="C24" s="256"/>
      <c r="D24" s="1122"/>
      <c r="E24" s="1122"/>
      <c r="F24" s="1122"/>
      <c r="G24" s="1122"/>
    </row>
    <row r="25" spans="1:7" ht="15.75" hidden="1">
      <c r="A25" s="255">
        <f t="shared" si="0"/>
        <v>17</v>
      </c>
      <c r="B25" s="257"/>
      <c r="C25" s="256"/>
      <c r="D25" s="1122"/>
      <c r="E25" s="1122"/>
      <c r="F25" s="1122"/>
      <c r="G25" s="1122"/>
    </row>
    <row r="26" spans="1:7" ht="15.75" hidden="1">
      <c r="A26" s="255">
        <f t="shared" si="0"/>
        <v>18</v>
      </c>
      <c r="B26" s="257"/>
      <c r="C26" s="256"/>
      <c r="D26" s="1122"/>
      <c r="E26" s="1122"/>
      <c r="F26" s="1122"/>
      <c r="G26" s="1122"/>
    </row>
    <row r="27" spans="1:7" ht="15.75">
      <c r="A27" s="1863" t="s">
        <v>183</v>
      </c>
      <c r="B27" s="1864"/>
      <c r="C27" s="248">
        <f>SUM(C7:C26)</f>
        <v>4891422.43</v>
      </c>
      <c r="D27" s="1121">
        <f>SUM(D9:D15)</f>
        <v>975156.24</v>
      </c>
      <c r="E27" s="1121">
        <f>SUM(E9:E15)</f>
        <v>-155015.6</v>
      </c>
      <c r="F27" s="1123">
        <f>D27+E27</f>
        <v>820140.64</v>
      </c>
      <c r="G27" s="1123">
        <f>SUM(G9:G15)</f>
        <v>-3142514.33</v>
      </c>
    </row>
    <row r="28" spans="1:7">
      <c r="D28" s="1123">
        <f>D27-C27</f>
        <v>-3916266.1899999995</v>
      </c>
      <c r="E28" s="1122"/>
      <c r="F28" s="1122"/>
      <c r="G28" s="1122"/>
    </row>
    <row r="29" spans="1:7" s="207" customFormat="1" ht="15.75">
      <c r="B29" s="234" t="s">
        <v>1077</v>
      </c>
      <c r="C29" s="507" t="s">
        <v>1040</v>
      </c>
      <c r="D29" s="1124"/>
      <c r="E29" s="1125"/>
      <c r="F29" s="1124"/>
      <c r="G29" s="1126"/>
    </row>
    <row r="30" spans="1:7" s="207" customFormat="1" ht="20.25" customHeight="1">
      <c r="B30" s="531" t="s">
        <v>1078</v>
      </c>
      <c r="C30" s="523" t="s">
        <v>1079</v>
      </c>
      <c r="D30" s="1127"/>
      <c r="E30" s="1128"/>
      <c r="F30" s="1129"/>
      <c r="G30" s="1126"/>
    </row>
    <row r="31" spans="1:7" s="207" customFormat="1" ht="15.75">
      <c r="B31" s="139" t="s">
        <v>1076</v>
      </c>
      <c r="C31" s="529" t="s">
        <v>1245</v>
      </c>
      <c r="D31" s="311"/>
      <c r="E31" s="510"/>
      <c r="F31" s="311"/>
    </row>
    <row r="32" spans="1:7" s="207" customFormat="1" ht="19.5" customHeight="1">
      <c r="B32" s="531" t="s">
        <v>1078</v>
      </c>
      <c r="C32" s="523" t="s">
        <v>1079</v>
      </c>
      <c r="D32" s="217"/>
      <c r="E32" s="510"/>
      <c r="F32" s="511"/>
    </row>
    <row r="33" s="27" customFormat="1"/>
  </sheetData>
  <mergeCells count="3">
    <mergeCell ref="A3:C3"/>
    <mergeCell ref="A4:C4"/>
    <mergeCell ref="A27:B27"/>
  </mergeCells>
  <phoneticPr fontId="116" type="noConversion"/>
  <pageMargins left="0.98425196850393704" right="0.19685039370078741" top="0.78740157480314965" bottom="0.39370078740157483" header="0.51181102362204722" footer="0.51181102362204722"/>
  <pageSetup paperSize="9" scale="99" orientation="portrait" r:id="rId1"/>
  <headerFooter alignWithMargins="0"/>
</worksheet>
</file>

<file path=xl/worksheets/sheet37.xml><?xml version="1.0" encoding="utf-8"?>
<worksheet xmlns="http://schemas.openxmlformats.org/spreadsheetml/2006/main" xmlns:r="http://schemas.openxmlformats.org/officeDocument/2006/relationships">
  <sheetPr>
    <tabColor theme="9" tint="-0.249977111117893"/>
  </sheetPr>
  <dimension ref="A1:G33"/>
  <sheetViews>
    <sheetView view="pageBreakPreview" topLeftCell="A4" zoomScale="95" zoomScaleNormal="100" zoomScaleSheetLayoutView="95" workbookViewId="0">
      <selection activeCell="J30" sqref="J30"/>
    </sheetView>
  </sheetViews>
  <sheetFormatPr defaultRowHeight="15"/>
  <cols>
    <col min="1" max="1" width="5.7109375" style="26" customWidth="1"/>
    <col min="2" max="2" width="63" style="26" customWidth="1"/>
    <col min="3" max="3" width="22.28515625" style="72" customWidth="1"/>
    <col min="4" max="4" width="16.28515625" style="26" customWidth="1"/>
    <col min="5" max="5" width="14" style="26" bestFit="1" customWidth="1"/>
    <col min="6" max="6" width="15.5703125" style="26" bestFit="1" customWidth="1"/>
    <col min="7" max="7" width="14" style="26" bestFit="1" customWidth="1"/>
    <col min="8" max="16384" width="9.140625" style="26"/>
  </cols>
  <sheetData>
    <row r="1" spans="1:7" ht="15.75">
      <c r="A1" s="161"/>
      <c r="B1" s="161"/>
      <c r="C1" s="209" t="s">
        <v>960</v>
      </c>
    </row>
    <row r="2" spans="1:7" ht="15.75">
      <c r="A2" s="161"/>
      <c r="B2" s="161"/>
      <c r="C2" s="209"/>
    </row>
    <row r="3" spans="1:7" ht="52.5" customHeight="1">
      <c r="A3" s="1861" t="s">
        <v>33</v>
      </c>
      <c r="B3" s="1861"/>
      <c r="C3" s="1861"/>
    </row>
    <row r="4" spans="1:7" ht="15.75">
      <c r="A4" s="1862" t="s">
        <v>753</v>
      </c>
      <c r="B4" s="1862"/>
      <c r="C4" s="1862"/>
    </row>
    <row r="5" spans="1:7" s="71" customFormat="1" ht="31.5">
      <c r="A5" s="228" t="s">
        <v>1267</v>
      </c>
      <c r="B5" s="228" t="s">
        <v>218</v>
      </c>
      <c r="C5" s="253" t="s">
        <v>1742</v>
      </c>
    </row>
    <row r="6" spans="1:7" s="71" customFormat="1" ht="15.75">
      <c r="A6" s="228">
        <v>1</v>
      </c>
      <c r="B6" s="228">
        <v>2</v>
      </c>
      <c r="C6" s="254">
        <v>3</v>
      </c>
    </row>
    <row r="7" spans="1:7" ht="15.75">
      <c r="A7" s="255">
        <v>1</v>
      </c>
      <c r="B7" s="243" t="s">
        <v>1802</v>
      </c>
      <c r="C7" s="147"/>
    </row>
    <row r="8" spans="1:7" ht="15.75">
      <c r="A8" s="255">
        <f>A7+1</f>
        <v>2</v>
      </c>
      <c r="B8" s="243" t="s">
        <v>1096</v>
      </c>
      <c r="C8" s="147"/>
    </row>
    <row r="9" spans="1:7" ht="31.5">
      <c r="A9" s="255">
        <v>3</v>
      </c>
      <c r="B9" s="517" t="s">
        <v>474</v>
      </c>
      <c r="C9" s="1120">
        <f ca="1">'340  мат.запасы 2020'!F268</f>
        <v>787789.97</v>
      </c>
      <c r="D9" s="1121">
        <f>23355.36+693+2112.6</f>
        <v>26160.959999999999</v>
      </c>
      <c r="E9" s="1122"/>
      <c r="F9" s="1122"/>
      <c r="G9" s="1123">
        <f>D9-C9</f>
        <v>-761629.01</v>
      </c>
    </row>
    <row r="10" spans="1:7" ht="31.5">
      <c r="A10" s="255">
        <v>4</v>
      </c>
      <c r="B10" s="517" t="s">
        <v>1020</v>
      </c>
      <c r="C10" s="1120">
        <f ca="1">'340 гсм'!G46+'340 гсм'!L12</f>
        <v>897044.66000000015</v>
      </c>
      <c r="D10" s="1121">
        <v>184345.2</v>
      </c>
      <c r="E10" s="1122"/>
      <c r="F10" s="1122"/>
      <c r="G10" s="1123">
        <f>D10-C10</f>
        <v>-712699.4600000002</v>
      </c>
    </row>
    <row r="11" spans="1:7" ht="31.5" hidden="1">
      <c r="A11" s="255">
        <f t="shared" ref="A11:A26" si="0">A10+1</f>
        <v>5</v>
      </c>
      <c r="B11" s="517" t="s">
        <v>1021</v>
      </c>
      <c r="C11" s="1120">
        <f>'[7]Мягкий инв.ОБЩ'!F20</f>
        <v>0</v>
      </c>
      <c r="D11" s="1122"/>
      <c r="E11" s="1122"/>
      <c r="F11" s="1122"/>
      <c r="G11" s="1122"/>
    </row>
    <row r="12" spans="1:7" ht="31.5">
      <c r="A12" s="255">
        <v>5</v>
      </c>
      <c r="B12" s="517" t="s">
        <v>1022</v>
      </c>
      <c r="C12" s="1120">
        <f ca="1">'Мягкий инв 2020'!K64</f>
        <v>819512.84000000008</v>
      </c>
      <c r="D12" s="1122"/>
      <c r="E12" s="1122"/>
      <c r="F12" s="1122"/>
      <c r="G12" s="1122"/>
    </row>
    <row r="13" spans="1:7" ht="31.5">
      <c r="A13" s="255">
        <f t="shared" si="0"/>
        <v>6</v>
      </c>
      <c r="B13" s="517" t="s">
        <v>1023</v>
      </c>
      <c r="C13" s="519">
        <f ca="1">' спецодежда (2019-20)'!K54</f>
        <v>115743.5</v>
      </c>
      <c r="D13" s="1122"/>
      <c r="E13" s="1122"/>
      <c r="F13" s="1122"/>
      <c r="G13" s="1122"/>
    </row>
    <row r="14" spans="1:7" ht="31.5" hidden="1">
      <c r="A14" s="255">
        <f t="shared" si="0"/>
        <v>7</v>
      </c>
      <c r="B14" s="517" t="s">
        <v>1024</v>
      </c>
      <c r="C14" s="1120">
        <f>'[7]340 мат. запасы УЧ.ЦЕЛИ'!F26</f>
        <v>0</v>
      </c>
      <c r="D14" s="1122"/>
      <c r="E14" s="1122"/>
      <c r="F14" s="1122"/>
      <c r="G14" s="1122"/>
    </row>
    <row r="15" spans="1:7" ht="18.75" customHeight="1">
      <c r="A15" s="255">
        <v>7</v>
      </c>
      <c r="B15" s="517" t="s">
        <v>1025</v>
      </c>
      <c r="C15" s="1120">
        <f ca="1">'340 пит прих 2020(7-10)'!F37+'340 пит прих 2020(11-18)'!F37+'340 пит интер 2020 ( 7-10) '!F37+'340 пит интер 2020 ( 11-18)'!F37</f>
        <v>2271331.46</v>
      </c>
      <c r="D15" s="1121">
        <v>764650.08</v>
      </c>
      <c r="E15" s="1122">
        <v>-155015.6</v>
      </c>
      <c r="F15" s="1123">
        <f>D15+E15</f>
        <v>609634.48</v>
      </c>
      <c r="G15" s="1123">
        <f>F15-C15</f>
        <v>-1661696.98</v>
      </c>
    </row>
    <row r="16" spans="1:7" ht="15.75" hidden="1">
      <c r="A16" s="255">
        <f t="shared" si="0"/>
        <v>8</v>
      </c>
      <c r="B16" s="257"/>
      <c r="C16" s="264"/>
      <c r="D16" s="1122"/>
      <c r="E16" s="1122"/>
      <c r="F16" s="1122"/>
      <c r="G16" s="1122"/>
    </row>
    <row r="17" spans="1:7" ht="15.75" hidden="1">
      <c r="A17" s="255">
        <f t="shared" si="0"/>
        <v>9</v>
      </c>
      <c r="B17" s="257"/>
      <c r="C17" s="256"/>
      <c r="D17" s="1122"/>
      <c r="E17" s="1122"/>
      <c r="F17" s="1122"/>
      <c r="G17" s="1122"/>
    </row>
    <row r="18" spans="1:7" ht="15.75" hidden="1">
      <c r="A18" s="255">
        <f t="shared" si="0"/>
        <v>10</v>
      </c>
      <c r="B18" s="257"/>
      <c r="C18" s="256"/>
      <c r="D18" s="1122"/>
      <c r="E18" s="1122"/>
      <c r="F18" s="1122"/>
      <c r="G18" s="1122"/>
    </row>
    <row r="19" spans="1:7" ht="15.75" hidden="1">
      <c r="A19" s="255">
        <f t="shared" si="0"/>
        <v>11</v>
      </c>
      <c r="B19" s="257"/>
      <c r="C19" s="256"/>
      <c r="D19" s="1122"/>
      <c r="E19" s="1122"/>
      <c r="F19" s="1122"/>
      <c r="G19" s="1122"/>
    </row>
    <row r="20" spans="1:7" ht="15.75" hidden="1">
      <c r="A20" s="255">
        <f t="shared" si="0"/>
        <v>12</v>
      </c>
      <c r="B20" s="257"/>
      <c r="C20" s="256"/>
      <c r="D20" s="1122"/>
      <c r="E20" s="1122"/>
      <c r="F20" s="1122"/>
      <c r="G20" s="1122"/>
    </row>
    <row r="21" spans="1:7" ht="15.75" hidden="1">
      <c r="A21" s="255">
        <f t="shared" si="0"/>
        <v>13</v>
      </c>
      <c r="B21" s="257"/>
      <c r="C21" s="256"/>
      <c r="D21" s="1122"/>
      <c r="E21" s="1122"/>
      <c r="F21" s="1122"/>
      <c r="G21" s="1122"/>
    </row>
    <row r="22" spans="1:7" ht="15.75" hidden="1">
      <c r="A22" s="255">
        <f t="shared" si="0"/>
        <v>14</v>
      </c>
      <c r="B22" s="257"/>
      <c r="C22" s="256"/>
      <c r="D22" s="1122"/>
      <c r="E22" s="1122"/>
      <c r="F22" s="1122"/>
      <c r="G22" s="1122"/>
    </row>
    <row r="23" spans="1:7" ht="15.75" hidden="1">
      <c r="A23" s="255">
        <f t="shared" si="0"/>
        <v>15</v>
      </c>
      <c r="B23" s="257"/>
      <c r="C23" s="256"/>
      <c r="D23" s="1122"/>
      <c r="E23" s="1122"/>
      <c r="F23" s="1122"/>
      <c r="G23" s="1122"/>
    </row>
    <row r="24" spans="1:7" ht="15.75" hidden="1">
      <c r="A24" s="255">
        <f t="shared" si="0"/>
        <v>16</v>
      </c>
      <c r="B24" s="257"/>
      <c r="C24" s="256"/>
      <c r="D24" s="1122"/>
      <c r="E24" s="1122"/>
      <c r="F24" s="1122"/>
      <c r="G24" s="1122"/>
    </row>
    <row r="25" spans="1:7" ht="15.75" hidden="1">
      <c r="A25" s="255">
        <f t="shared" si="0"/>
        <v>17</v>
      </c>
      <c r="B25" s="257"/>
      <c r="C25" s="256"/>
      <c r="D25" s="1122"/>
      <c r="E25" s="1122"/>
      <c r="F25" s="1122"/>
      <c r="G25" s="1122"/>
    </row>
    <row r="26" spans="1:7" ht="15.75" hidden="1">
      <c r="A26" s="255">
        <f t="shared" si="0"/>
        <v>18</v>
      </c>
      <c r="B26" s="257"/>
      <c r="C26" s="256"/>
      <c r="D26" s="1122"/>
      <c r="E26" s="1122"/>
      <c r="F26" s="1122"/>
      <c r="G26" s="1122"/>
    </row>
    <row r="27" spans="1:7" ht="15.75">
      <c r="A27" s="1863" t="s">
        <v>183</v>
      </c>
      <c r="B27" s="1864"/>
      <c r="C27" s="248">
        <f>SUM(C7:C26)</f>
        <v>4891422.43</v>
      </c>
      <c r="D27" s="1121">
        <f>SUM(D9:D15)</f>
        <v>975156.24</v>
      </c>
      <c r="E27" s="1121">
        <f>SUM(E9:E15)</f>
        <v>-155015.6</v>
      </c>
      <c r="F27" s="1123">
        <f>D27+E27</f>
        <v>820140.64</v>
      </c>
      <c r="G27" s="1123">
        <f>SUM(G9:G15)</f>
        <v>-3136025.45</v>
      </c>
    </row>
    <row r="28" spans="1:7">
      <c r="D28" s="1123">
        <f>D27-C27</f>
        <v>-3916266.1899999995</v>
      </c>
      <c r="E28" s="1122"/>
      <c r="F28" s="1122"/>
      <c r="G28" s="1122"/>
    </row>
    <row r="29" spans="1:7" s="207" customFormat="1" ht="15.75">
      <c r="B29" s="234" t="s">
        <v>1077</v>
      </c>
      <c r="C29" s="507" t="s">
        <v>1040</v>
      </c>
      <c r="D29" s="1124"/>
      <c r="E29" s="1125"/>
      <c r="F29" s="1124"/>
      <c r="G29" s="1126"/>
    </row>
    <row r="30" spans="1:7" s="207" customFormat="1" ht="20.25" customHeight="1">
      <c r="B30" s="531" t="s">
        <v>1078</v>
      </c>
      <c r="C30" s="523" t="s">
        <v>1079</v>
      </c>
      <c r="D30" s="1127"/>
      <c r="E30" s="1128"/>
      <c r="F30" s="1129"/>
      <c r="G30" s="1126"/>
    </row>
    <row r="31" spans="1:7" s="207" customFormat="1" ht="15.75">
      <c r="B31" s="139" t="s">
        <v>1076</v>
      </c>
      <c r="C31" s="529" t="s">
        <v>1245</v>
      </c>
      <c r="D31" s="311"/>
      <c r="E31" s="510"/>
      <c r="F31" s="311"/>
    </row>
    <row r="32" spans="1:7" s="207" customFormat="1" ht="19.5" customHeight="1">
      <c r="B32" s="531" t="s">
        <v>1078</v>
      </c>
      <c r="C32" s="523" t="s">
        <v>1079</v>
      </c>
      <c r="D32" s="217"/>
      <c r="E32" s="510"/>
      <c r="F32" s="511"/>
    </row>
    <row r="33" s="27" customFormat="1"/>
  </sheetData>
  <mergeCells count="3">
    <mergeCell ref="A3:C3"/>
    <mergeCell ref="A4:C4"/>
    <mergeCell ref="A27:B27"/>
  </mergeCells>
  <phoneticPr fontId="116" type="noConversion"/>
  <pageMargins left="0.98425196850393704" right="0.19685039370078741" top="0.78740157480314965" bottom="0.39370078740157483" header="0.51181102362204722" footer="0.51181102362204722"/>
  <pageSetup paperSize="9" scale="99" orientation="portrait" r:id="rId1"/>
  <headerFooter alignWithMargins="0"/>
</worksheet>
</file>

<file path=xl/worksheets/sheet38.xml><?xml version="1.0" encoding="utf-8"?>
<worksheet xmlns="http://schemas.openxmlformats.org/spreadsheetml/2006/main" xmlns:r="http://schemas.openxmlformats.org/officeDocument/2006/relationships">
  <sheetPr codeName="Лист17">
    <tabColor rgb="FFFF0000"/>
  </sheetPr>
  <dimension ref="A1:Q278"/>
  <sheetViews>
    <sheetView view="pageBreakPreview" zoomScaleNormal="100" zoomScaleSheetLayoutView="100" workbookViewId="0">
      <selection activeCell="D8" sqref="D8:F33"/>
    </sheetView>
  </sheetViews>
  <sheetFormatPr defaultRowHeight="15"/>
  <cols>
    <col min="1" max="1" width="4.42578125" style="26" bestFit="1" customWidth="1"/>
    <col min="2" max="2" width="43.7109375" style="26" customWidth="1"/>
    <col min="3" max="3" width="9.85546875" style="72" customWidth="1"/>
    <col min="4" max="4" width="9.140625" style="72"/>
    <col min="5" max="5" width="10.42578125" style="72" customWidth="1"/>
    <col min="6" max="6" width="15.7109375" style="72" customWidth="1"/>
    <col min="7" max="16384" width="9.140625" style="26"/>
  </cols>
  <sheetData>
    <row r="1" spans="1:6" ht="15.75">
      <c r="A1" s="161"/>
      <c r="B1" s="161"/>
      <c r="C1" s="404"/>
      <c r="D1" s="404"/>
      <c r="E1" s="404"/>
      <c r="F1" s="209" t="s">
        <v>961</v>
      </c>
    </row>
    <row r="2" spans="1:6" ht="46.5" hidden="1" customHeight="1">
      <c r="A2" s="161"/>
      <c r="B2" s="1809"/>
      <c r="C2" s="1809"/>
      <c r="D2" s="1809"/>
      <c r="E2" s="1809"/>
      <c r="F2" s="1809"/>
    </row>
    <row r="3" spans="1:6" ht="18" customHeight="1">
      <c r="A3" s="1475" t="s">
        <v>1919</v>
      </c>
      <c r="B3" s="1475"/>
      <c r="C3" s="1475"/>
      <c r="D3" s="1475"/>
      <c r="E3" s="1475"/>
      <c r="F3" s="1475"/>
    </row>
    <row r="4" spans="1:6" ht="15.75">
      <c r="A4" s="1862" t="s">
        <v>749</v>
      </c>
      <c r="B4" s="1862"/>
      <c r="C4" s="1862"/>
      <c r="D4" s="1862"/>
      <c r="E4" s="1862"/>
      <c r="F4" s="1862"/>
    </row>
    <row r="5" spans="1:6" s="71" customFormat="1" ht="31.5">
      <c r="A5" s="228" t="s">
        <v>1267</v>
      </c>
      <c r="B5" s="228" t="s">
        <v>218</v>
      </c>
      <c r="C5" s="228" t="s">
        <v>1305</v>
      </c>
      <c r="D5" s="228" t="s">
        <v>89</v>
      </c>
      <c r="E5" s="253" t="s">
        <v>223</v>
      </c>
      <c r="F5" s="253" t="s">
        <v>1019</v>
      </c>
    </row>
    <row r="6" spans="1:6" s="71" customFormat="1" ht="15.75">
      <c r="A6" s="228">
        <v>1</v>
      </c>
      <c r="B6" s="228">
        <v>2</v>
      </c>
      <c r="C6" s="228">
        <v>3</v>
      </c>
      <c r="D6" s="228">
        <v>4</v>
      </c>
      <c r="E6" s="254">
        <v>5</v>
      </c>
      <c r="F6" s="254">
        <v>6</v>
      </c>
    </row>
    <row r="7" spans="1:6" ht="15.75" customHeight="1">
      <c r="A7" s="1871" t="s">
        <v>32</v>
      </c>
      <c r="B7" s="1879"/>
      <c r="C7" s="1879"/>
      <c r="D7" s="1879"/>
      <c r="E7" s="1880"/>
      <c r="F7" s="1321">
        <f>SUM(F8:F54)</f>
        <v>156165.79999999996</v>
      </c>
    </row>
    <row r="8" spans="1:6" ht="15.75" customHeight="1">
      <c r="A8" s="1221">
        <v>1</v>
      </c>
      <c r="B8" s="352" t="s">
        <v>888</v>
      </c>
      <c r="C8" s="1222" t="s">
        <v>889</v>
      </c>
      <c r="D8" s="1429">
        <v>10</v>
      </c>
      <c r="E8" s="1224">
        <v>755.44</v>
      </c>
      <c r="F8" s="1322">
        <f t="shared" ref="F8:F71" si="0">ROUND(D8*E8,2)</f>
        <v>7554.4</v>
      </c>
    </row>
    <row r="9" spans="1:6" ht="17.25" customHeight="1">
      <c r="A9" s="1221">
        <f>A8+1</f>
        <v>2</v>
      </c>
      <c r="B9" s="1225" t="s">
        <v>890</v>
      </c>
      <c r="C9" s="1222" t="s">
        <v>889</v>
      </c>
      <c r="D9" s="1429">
        <v>10</v>
      </c>
      <c r="E9" s="1224">
        <v>980</v>
      </c>
      <c r="F9" s="1322">
        <f t="shared" si="0"/>
        <v>9800</v>
      </c>
    </row>
    <row r="10" spans="1:6" ht="34.5" customHeight="1">
      <c r="A10" s="1221">
        <f t="shared" ref="A10:A73" si="1">A9+1</f>
        <v>3</v>
      </c>
      <c r="B10" s="475" t="s">
        <v>891</v>
      </c>
      <c r="C10" s="1222" t="s">
        <v>889</v>
      </c>
      <c r="D10" s="1429">
        <v>2</v>
      </c>
      <c r="E10" s="1224">
        <v>539</v>
      </c>
      <c r="F10" s="1322">
        <f t="shared" si="0"/>
        <v>1078</v>
      </c>
    </row>
    <row r="11" spans="1:6" ht="17.25" customHeight="1">
      <c r="A11" s="1221">
        <f t="shared" si="1"/>
        <v>4</v>
      </c>
      <c r="B11" s="352" t="s">
        <v>892</v>
      </c>
      <c r="C11" s="1222" t="s">
        <v>889</v>
      </c>
      <c r="D11" s="1429">
        <v>5</v>
      </c>
      <c r="E11" s="1226">
        <v>1380</v>
      </c>
      <c r="F11" s="1322">
        <f t="shared" si="0"/>
        <v>6900</v>
      </c>
    </row>
    <row r="12" spans="1:6" ht="18.75" customHeight="1">
      <c r="A12" s="1221">
        <f t="shared" si="1"/>
        <v>5</v>
      </c>
      <c r="B12" s="352" t="s">
        <v>893</v>
      </c>
      <c r="C12" s="1222" t="s">
        <v>889</v>
      </c>
      <c r="D12" s="1429">
        <v>10</v>
      </c>
      <c r="E12" s="1226">
        <v>1832</v>
      </c>
      <c r="F12" s="1322">
        <f t="shared" si="0"/>
        <v>18320</v>
      </c>
    </row>
    <row r="13" spans="1:6" ht="15.75" customHeight="1">
      <c r="A13" s="1221">
        <f t="shared" si="1"/>
        <v>6</v>
      </c>
      <c r="B13" s="352" t="s">
        <v>894</v>
      </c>
      <c r="C13" s="1222" t="s">
        <v>895</v>
      </c>
      <c r="D13" s="1429">
        <v>1</v>
      </c>
      <c r="E13" s="1226">
        <v>6500</v>
      </c>
      <c r="F13" s="1322">
        <f t="shared" si="0"/>
        <v>6500</v>
      </c>
    </row>
    <row r="14" spans="1:6" ht="15.75" customHeight="1">
      <c r="A14" s="1221">
        <f t="shared" si="1"/>
        <v>7</v>
      </c>
      <c r="B14" s="352" t="s">
        <v>896</v>
      </c>
      <c r="C14" s="1222" t="s">
        <v>889</v>
      </c>
      <c r="D14" s="1223">
        <v>5</v>
      </c>
      <c r="E14" s="1226">
        <v>315</v>
      </c>
      <c r="F14" s="1322">
        <f t="shared" si="0"/>
        <v>1575</v>
      </c>
    </row>
    <row r="15" spans="1:6" ht="17.25" customHeight="1">
      <c r="A15" s="1221">
        <f t="shared" si="1"/>
        <v>8</v>
      </c>
      <c r="B15" s="352" t="s">
        <v>897</v>
      </c>
      <c r="C15" s="1222" t="s">
        <v>889</v>
      </c>
      <c r="D15" s="1223">
        <v>10</v>
      </c>
      <c r="E15" s="1226">
        <v>512</v>
      </c>
      <c r="F15" s="1322">
        <f t="shared" si="0"/>
        <v>5120</v>
      </c>
    </row>
    <row r="16" spans="1:6" ht="21.75" customHeight="1">
      <c r="A16" s="1221">
        <f t="shared" si="1"/>
        <v>9</v>
      </c>
      <c r="B16" s="352" t="s">
        <v>898</v>
      </c>
      <c r="C16" s="1222" t="s">
        <v>889</v>
      </c>
      <c r="D16" s="1429"/>
      <c r="E16" s="1226">
        <v>10500</v>
      </c>
      <c r="F16" s="1322">
        <f t="shared" si="0"/>
        <v>0</v>
      </c>
    </row>
    <row r="17" spans="1:6" ht="16.5" hidden="1" customHeight="1">
      <c r="A17" s="1221">
        <f t="shared" si="1"/>
        <v>10</v>
      </c>
      <c r="B17" s="352" t="s">
        <v>899</v>
      </c>
      <c r="C17" s="1222" t="s">
        <v>900</v>
      </c>
      <c r="D17" s="1223">
        <v>0</v>
      </c>
      <c r="E17" s="1226">
        <v>910</v>
      </c>
      <c r="F17" s="1322">
        <f t="shared" si="0"/>
        <v>0</v>
      </c>
    </row>
    <row r="18" spans="1:6" ht="15.75" hidden="1">
      <c r="A18" s="1221">
        <f t="shared" si="1"/>
        <v>11</v>
      </c>
      <c r="B18" s="352" t="s">
        <v>901</v>
      </c>
      <c r="C18" s="1222" t="s">
        <v>889</v>
      </c>
      <c r="D18" s="1223">
        <v>0</v>
      </c>
      <c r="E18" s="1226">
        <v>988</v>
      </c>
      <c r="F18" s="1322">
        <f t="shared" si="0"/>
        <v>0</v>
      </c>
    </row>
    <row r="19" spans="1:6" ht="18" hidden="1" customHeight="1">
      <c r="A19" s="1221">
        <f t="shared" si="1"/>
        <v>12</v>
      </c>
      <c r="B19" s="352" t="s">
        <v>902</v>
      </c>
      <c r="C19" s="1222" t="s">
        <v>889</v>
      </c>
      <c r="D19" s="1223">
        <v>0</v>
      </c>
      <c r="E19" s="1226">
        <v>250</v>
      </c>
      <c r="F19" s="1322">
        <f t="shared" si="0"/>
        <v>0</v>
      </c>
    </row>
    <row r="20" spans="1:6" ht="15.75" hidden="1">
      <c r="A20" s="1221">
        <f t="shared" si="1"/>
        <v>13</v>
      </c>
      <c r="B20" s="1225" t="s">
        <v>903</v>
      </c>
      <c r="C20" s="1222" t="s">
        <v>889</v>
      </c>
      <c r="D20" s="1223">
        <v>0</v>
      </c>
      <c r="E20" s="1224">
        <v>558</v>
      </c>
      <c r="F20" s="1322">
        <f t="shared" si="0"/>
        <v>0</v>
      </c>
    </row>
    <row r="21" spans="1:6" ht="15.75" hidden="1">
      <c r="A21" s="1221">
        <f t="shared" si="1"/>
        <v>14</v>
      </c>
      <c r="B21" s="1225" t="s">
        <v>904</v>
      </c>
      <c r="C21" s="1222" t="s">
        <v>889</v>
      </c>
      <c r="D21" s="1223">
        <v>0</v>
      </c>
      <c r="E21" s="1224">
        <v>104</v>
      </c>
      <c r="F21" s="1322">
        <f t="shared" si="0"/>
        <v>0</v>
      </c>
    </row>
    <row r="22" spans="1:6" ht="18.75" customHeight="1">
      <c r="A22" s="1221">
        <f t="shared" si="1"/>
        <v>15</v>
      </c>
      <c r="B22" s="1225" t="s">
        <v>905</v>
      </c>
      <c r="C22" s="1222" t="s">
        <v>889</v>
      </c>
      <c r="D22" s="1223">
        <v>8</v>
      </c>
      <c r="E22" s="1224">
        <v>38</v>
      </c>
      <c r="F22" s="1322">
        <f t="shared" si="0"/>
        <v>304</v>
      </c>
    </row>
    <row r="23" spans="1:6" ht="33" customHeight="1">
      <c r="A23" s="1221">
        <f t="shared" si="1"/>
        <v>16</v>
      </c>
      <c r="B23" s="1225" t="s">
        <v>906</v>
      </c>
      <c r="C23" s="1222" t="s">
        <v>889</v>
      </c>
      <c r="D23" s="1223">
        <v>8</v>
      </c>
      <c r="E23" s="1224">
        <v>268</v>
      </c>
      <c r="F23" s="1322">
        <f t="shared" si="0"/>
        <v>2144</v>
      </c>
    </row>
    <row r="24" spans="1:6" ht="30" customHeight="1">
      <c r="A24" s="1221">
        <f t="shared" si="1"/>
        <v>17</v>
      </c>
      <c r="B24" s="548" t="s">
        <v>907</v>
      </c>
      <c r="C24" s="1227" t="s">
        <v>908</v>
      </c>
      <c r="D24" s="1223">
        <v>60</v>
      </c>
      <c r="E24" s="1224">
        <v>120</v>
      </c>
      <c r="F24" s="1322">
        <f t="shared" si="0"/>
        <v>7200</v>
      </c>
    </row>
    <row r="25" spans="1:6" ht="30.75" customHeight="1">
      <c r="A25" s="255">
        <f t="shared" si="1"/>
        <v>18</v>
      </c>
      <c r="B25" s="548" t="s">
        <v>909</v>
      </c>
      <c r="C25" s="1227" t="s">
        <v>908</v>
      </c>
      <c r="D25" s="246">
        <v>30</v>
      </c>
      <c r="E25" s="247">
        <v>120</v>
      </c>
      <c r="F25" s="1322">
        <f t="shared" si="0"/>
        <v>3600</v>
      </c>
    </row>
    <row r="26" spans="1:6" ht="28.5" customHeight="1">
      <c r="A26" s="255">
        <f t="shared" si="1"/>
        <v>19</v>
      </c>
      <c r="B26" s="1225" t="s">
        <v>910</v>
      </c>
      <c r="C26" s="1227" t="s">
        <v>908</v>
      </c>
      <c r="D26" s="246">
        <v>30</v>
      </c>
      <c r="E26" s="247">
        <v>120</v>
      </c>
      <c r="F26" s="1322">
        <f t="shared" si="0"/>
        <v>3600</v>
      </c>
    </row>
    <row r="27" spans="1:6" ht="30.75" customHeight="1">
      <c r="A27" s="255">
        <f t="shared" si="1"/>
        <v>20</v>
      </c>
      <c r="B27" s="1225" t="s">
        <v>911</v>
      </c>
      <c r="C27" s="1227" t="s">
        <v>908</v>
      </c>
      <c r="D27" s="246">
        <v>30</v>
      </c>
      <c r="E27" s="247">
        <v>120</v>
      </c>
      <c r="F27" s="1322">
        <f t="shared" si="0"/>
        <v>3600</v>
      </c>
    </row>
    <row r="28" spans="1:6" ht="32.25" customHeight="1">
      <c r="A28" s="255">
        <f t="shared" si="1"/>
        <v>21</v>
      </c>
      <c r="B28" s="1228" t="s">
        <v>912</v>
      </c>
      <c r="C28" s="1227" t="s">
        <v>908</v>
      </c>
      <c r="D28" s="246">
        <v>120</v>
      </c>
      <c r="E28" s="247">
        <v>120</v>
      </c>
      <c r="F28" s="1322">
        <f t="shared" si="0"/>
        <v>14400</v>
      </c>
    </row>
    <row r="29" spans="1:6" ht="16.5" customHeight="1">
      <c r="A29" s="255">
        <f t="shared" si="1"/>
        <v>22</v>
      </c>
      <c r="B29" s="231" t="s">
        <v>913</v>
      </c>
      <c r="C29" s="1227" t="s">
        <v>914</v>
      </c>
      <c r="D29" s="147">
        <v>2</v>
      </c>
      <c r="E29" s="247">
        <v>230</v>
      </c>
      <c r="F29" s="1322">
        <f t="shared" si="0"/>
        <v>460</v>
      </c>
    </row>
    <row r="30" spans="1:6" ht="17.25" customHeight="1">
      <c r="A30" s="255">
        <f t="shared" si="1"/>
        <v>23</v>
      </c>
      <c r="B30" s="231" t="s">
        <v>915</v>
      </c>
      <c r="C30" s="1227" t="s">
        <v>914</v>
      </c>
      <c r="D30" s="147">
        <v>2</v>
      </c>
      <c r="E30" s="247">
        <v>270</v>
      </c>
      <c r="F30" s="1322">
        <f t="shared" si="0"/>
        <v>540</v>
      </c>
    </row>
    <row r="31" spans="1:6" ht="17.25" customHeight="1">
      <c r="A31" s="255">
        <f t="shared" si="1"/>
        <v>24</v>
      </c>
      <c r="B31" s="231" t="s">
        <v>916</v>
      </c>
      <c r="C31" s="1227" t="s">
        <v>914</v>
      </c>
      <c r="D31" s="147">
        <v>2</v>
      </c>
      <c r="E31" s="247">
        <v>260</v>
      </c>
      <c r="F31" s="1322">
        <f t="shared" si="0"/>
        <v>520</v>
      </c>
    </row>
    <row r="32" spans="1:6" ht="14.25" customHeight="1">
      <c r="A32" s="255">
        <f t="shared" si="1"/>
        <v>25</v>
      </c>
      <c r="B32" s="231" t="s">
        <v>917</v>
      </c>
      <c r="C32" s="1227" t="s">
        <v>914</v>
      </c>
      <c r="D32" s="147">
        <v>2</v>
      </c>
      <c r="E32" s="247">
        <v>250</v>
      </c>
      <c r="F32" s="1322">
        <f t="shared" si="0"/>
        <v>500</v>
      </c>
    </row>
    <row r="33" spans="1:7" ht="13.5" customHeight="1">
      <c r="A33" s="255">
        <f t="shared" si="1"/>
        <v>26</v>
      </c>
      <c r="B33" s="231" t="s">
        <v>918</v>
      </c>
      <c r="C33" s="1227" t="s">
        <v>914</v>
      </c>
      <c r="D33" s="147">
        <v>2</v>
      </c>
      <c r="E33" s="247">
        <v>240</v>
      </c>
      <c r="F33" s="1322">
        <f t="shared" si="0"/>
        <v>480</v>
      </c>
    </row>
    <row r="34" spans="1:7" ht="30" customHeight="1">
      <c r="A34" s="255">
        <f t="shared" si="1"/>
        <v>27</v>
      </c>
      <c r="B34" s="231" t="s">
        <v>919</v>
      </c>
      <c r="C34" s="1227" t="s">
        <v>889</v>
      </c>
      <c r="D34" s="246">
        <v>1</v>
      </c>
      <c r="E34" s="247">
        <v>4500</v>
      </c>
      <c r="F34" s="1322">
        <f t="shared" si="0"/>
        <v>4500</v>
      </c>
    </row>
    <row r="35" spans="1:7" ht="17.25" customHeight="1">
      <c r="A35" s="255">
        <f t="shared" si="1"/>
        <v>28</v>
      </c>
      <c r="B35" s="231" t="s">
        <v>920</v>
      </c>
      <c r="C35" s="1227" t="s">
        <v>889</v>
      </c>
      <c r="D35" s="246">
        <v>1</v>
      </c>
      <c r="E35" s="247">
        <v>5000</v>
      </c>
      <c r="F35" s="1322">
        <f t="shared" si="0"/>
        <v>5000</v>
      </c>
    </row>
    <row r="36" spans="1:7" ht="15.75" customHeight="1">
      <c r="A36" s="1881" t="s">
        <v>1591</v>
      </c>
      <c r="B36" s="1882"/>
      <c r="C36" s="1882"/>
      <c r="D36" s="1882"/>
      <c r="E36" s="1883"/>
      <c r="F36" s="1321">
        <f>SUM(F37:F54)</f>
        <v>26235.200000000001</v>
      </c>
      <c r="G36" s="1229">
        <f>SUM(F37:F54)</f>
        <v>26235.200000000001</v>
      </c>
    </row>
    <row r="37" spans="1:7" ht="15.75">
      <c r="A37" s="255">
        <v>1</v>
      </c>
      <c r="B37" s="231" t="s">
        <v>921</v>
      </c>
      <c r="C37" s="1227" t="s">
        <v>889</v>
      </c>
      <c r="D37" s="246">
        <v>2</v>
      </c>
      <c r="E37" s="247">
        <v>266</v>
      </c>
      <c r="F37" s="1322">
        <f t="shared" si="0"/>
        <v>532</v>
      </c>
    </row>
    <row r="38" spans="1:7" ht="17.25" customHeight="1">
      <c r="A38" s="255">
        <f t="shared" si="1"/>
        <v>2</v>
      </c>
      <c r="B38" s="231" t="s">
        <v>922</v>
      </c>
      <c r="C38" s="1227" t="s">
        <v>889</v>
      </c>
      <c r="D38" s="246">
        <v>2</v>
      </c>
      <c r="E38" s="247">
        <v>756</v>
      </c>
      <c r="F38" s="1322">
        <f t="shared" si="0"/>
        <v>1512</v>
      </c>
    </row>
    <row r="39" spans="1:7" ht="15.75">
      <c r="A39" s="255">
        <f t="shared" si="1"/>
        <v>3</v>
      </c>
      <c r="B39" s="231" t="s">
        <v>923</v>
      </c>
      <c r="C39" s="1227" t="s">
        <v>889</v>
      </c>
      <c r="D39" s="246">
        <v>2</v>
      </c>
      <c r="E39" s="247">
        <v>996</v>
      </c>
      <c r="F39" s="1322">
        <f t="shared" si="0"/>
        <v>1992</v>
      </c>
    </row>
    <row r="40" spans="1:7" ht="15.75">
      <c r="A40" s="255">
        <f t="shared" si="1"/>
        <v>4</v>
      </c>
      <c r="B40" s="231" t="s">
        <v>924</v>
      </c>
      <c r="C40" s="1227" t="s">
        <v>889</v>
      </c>
      <c r="D40" s="246">
        <v>50</v>
      </c>
      <c r="E40" s="247">
        <v>8.5</v>
      </c>
      <c r="F40" s="1322">
        <f t="shared" si="0"/>
        <v>425</v>
      </c>
    </row>
    <row r="41" spans="1:7" ht="31.5">
      <c r="A41" s="255">
        <f t="shared" si="1"/>
        <v>5</v>
      </c>
      <c r="B41" s="231" t="s">
        <v>880</v>
      </c>
      <c r="C41" s="1227" t="s">
        <v>889</v>
      </c>
      <c r="D41" s="246">
        <v>15</v>
      </c>
      <c r="E41" s="247">
        <v>236</v>
      </c>
      <c r="F41" s="1322">
        <f t="shared" si="0"/>
        <v>3540</v>
      </c>
    </row>
    <row r="42" spans="1:7" ht="15.75">
      <c r="A42" s="255">
        <f t="shared" si="1"/>
        <v>6</v>
      </c>
      <c r="B42" s="231" t="s">
        <v>925</v>
      </c>
      <c r="C42" s="1227" t="s">
        <v>889</v>
      </c>
      <c r="D42" s="147">
        <v>10</v>
      </c>
      <c r="E42" s="247">
        <v>79</v>
      </c>
      <c r="F42" s="1322">
        <f t="shared" si="0"/>
        <v>790</v>
      </c>
    </row>
    <row r="43" spans="1:7" ht="16.5" customHeight="1">
      <c r="A43" s="255">
        <f t="shared" si="1"/>
        <v>7</v>
      </c>
      <c r="B43" s="231" t="s">
        <v>926</v>
      </c>
      <c r="C43" s="1227" t="s">
        <v>889</v>
      </c>
      <c r="D43" s="147">
        <v>20</v>
      </c>
      <c r="E43" s="247">
        <v>23.1</v>
      </c>
      <c r="F43" s="1322">
        <f t="shared" si="0"/>
        <v>462</v>
      </c>
    </row>
    <row r="44" spans="1:7" ht="30" customHeight="1">
      <c r="A44" s="255">
        <f t="shared" si="1"/>
        <v>8</v>
      </c>
      <c r="B44" s="231" t="s">
        <v>927</v>
      </c>
      <c r="C44" s="1227" t="s">
        <v>889</v>
      </c>
      <c r="D44" s="246">
        <v>20</v>
      </c>
      <c r="E44" s="247">
        <v>107.1</v>
      </c>
      <c r="F44" s="1322">
        <f t="shared" si="0"/>
        <v>2142</v>
      </c>
    </row>
    <row r="45" spans="1:7" ht="31.5">
      <c r="A45" s="255">
        <f t="shared" si="1"/>
        <v>9</v>
      </c>
      <c r="B45" s="231" t="s">
        <v>928</v>
      </c>
      <c r="C45" s="1227" t="s">
        <v>889</v>
      </c>
      <c r="D45" s="246">
        <v>15</v>
      </c>
      <c r="E45" s="247">
        <v>238.5</v>
      </c>
      <c r="F45" s="1322">
        <f t="shared" si="0"/>
        <v>3577.5</v>
      </c>
    </row>
    <row r="46" spans="1:7" ht="34.5" customHeight="1">
      <c r="A46" s="255">
        <f t="shared" si="1"/>
        <v>10</v>
      </c>
      <c r="B46" s="231" t="s">
        <v>929</v>
      </c>
      <c r="C46" s="1227" t="s">
        <v>889</v>
      </c>
      <c r="D46" s="246">
        <v>10</v>
      </c>
      <c r="E46" s="247">
        <v>83</v>
      </c>
      <c r="F46" s="1322">
        <f t="shared" si="0"/>
        <v>830</v>
      </c>
    </row>
    <row r="47" spans="1:7" ht="45.75" customHeight="1">
      <c r="A47" s="255">
        <f t="shared" si="1"/>
        <v>11</v>
      </c>
      <c r="B47" s="231" t="s">
        <v>930</v>
      </c>
      <c r="C47" s="1227" t="s">
        <v>889</v>
      </c>
      <c r="D47" s="246">
        <v>10</v>
      </c>
      <c r="E47" s="247">
        <v>173.58</v>
      </c>
      <c r="F47" s="1322">
        <f t="shared" si="0"/>
        <v>1735.8</v>
      </c>
    </row>
    <row r="48" spans="1:7" ht="15.75">
      <c r="A48" s="255">
        <f t="shared" si="1"/>
        <v>12</v>
      </c>
      <c r="B48" s="231" t="s">
        <v>931</v>
      </c>
      <c r="C48" s="1227" t="s">
        <v>889</v>
      </c>
      <c r="D48" s="246">
        <v>50</v>
      </c>
      <c r="E48" s="247">
        <v>3.5</v>
      </c>
      <c r="F48" s="1322">
        <f t="shared" si="0"/>
        <v>175</v>
      </c>
    </row>
    <row r="49" spans="1:17" ht="17.25" customHeight="1">
      <c r="A49" s="255">
        <f t="shared" si="1"/>
        <v>13</v>
      </c>
      <c r="B49" s="231" t="s">
        <v>932</v>
      </c>
      <c r="C49" s="1227" t="s">
        <v>889</v>
      </c>
      <c r="D49" s="246">
        <v>6</v>
      </c>
      <c r="E49" s="247">
        <v>258</v>
      </c>
      <c r="F49" s="1322">
        <f t="shared" si="0"/>
        <v>1548</v>
      </c>
    </row>
    <row r="50" spans="1:17" ht="15.75" customHeight="1">
      <c r="A50" s="255">
        <f t="shared" si="1"/>
        <v>14</v>
      </c>
      <c r="B50" s="231" t="s">
        <v>933</v>
      </c>
      <c r="C50" s="1227" t="s">
        <v>889</v>
      </c>
      <c r="D50" s="246">
        <v>5</v>
      </c>
      <c r="E50" s="247">
        <v>203</v>
      </c>
      <c r="F50" s="1322">
        <f t="shared" si="0"/>
        <v>1015</v>
      </c>
    </row>
    <row r="51" spans="1:17" ht="31.5">
      <c r="A51" s="255">
        <f t="shared" si="1"/>
        <v>15</v>
      </c>
      <c r="B51" s="231" t="s">
        <v>934</v>
      </c>
      <c r="C51" s="1227" t="s">
        <v>889</v>
      </c>
      <c r="D51" s="246">
        <v>5</v>
      </c>
      <c r="E51" s="247">
        <v>75</v>
      </c>
      <c r="F51" s="1322">
        <f t="shared" si="0"/>
        <v>375</v>
      </c>
    </row>
    <row r="52" spans="1:17" ht="27.75" customHeight="1">
      <c r="A52" s="255">
        <f t="shared" si="1"/>
        <v>16</v>
      </c>
      <c r="B52" s="231" t="s">
        <v>935</v>
      </c>
      <c r="C52" s="1227" t="s">
        <v>889</v>
      </c>
      <c r="D52" s="246">
        <v>3</v>
      </c>
      <c r="E52" s="247">
        <v>147.30000000000001</v>
      </c>
      <c r="F52" s="1322">
        <f t="shared" si="0"/>
        <v>441.9</v>
      </c>
    </row>
    <row r="53" spans="1:17" ht="16.5" customHeight="1">
      <c r="A53" s="255">
        <f t="shared" si="1"/>
        <v>17</v>
      </c>
      <c r="B53" s="231" t="s">
        <v>936</v>
      </c>
      <c r="C53" s="1227" t="s">
        <v>889</v>
      </c>
      <c r="D53" s="246">
        <v>5</v>
      </c>
      <c r="E53" s="247">
        <v>675</v>
      </c>
      <c r="F53" s="1322">
        <f t="shared" si="0"/>
        <v>3375</v>
      </c>
    </row>
    <row r="54" spans="1:17" ht="30.75" customHeight="1">
      <c r="A54" s="255">
        <f t="shared" si="1"/>
        <v>18</v>
      </c>
      <c r="B54" s="231" t="s">
        <v>937</v>
      </c>
      <c r="C54" s="1227" t="s">
        <v>889</v>
      </c>
      <c r="D54" s="246">
        <v>3</v>
      </c>
      <c r="E54" s="247">
        <v>589</v>
      </c>
      <c r="F54" s="1322">
        <f t="shared" si="0"/>
        <v>1767</v>
      </c>
    </row>
    <row r="55" spans="1:17" ht="15.75">
      <c r="A55" s="255"/>
      <c r="B55" s="1881" t="s">
        <v>881</v>
      </c>
      <c r="C55" s="1884"/>
      <c r="D55" s="1884"/>
      <c r="E55" s="1885"/>
      <c r="F55" s="1321">
        <f>SUM(F56:F90)</f>
        <v>27005.750000000004</v>
      </c>
    </row>
    <row r="56" spans="1:17" ht="19.5" customHeight="1">
      <c r="A56" s="255">
        <f t="shared" si="1"/>
        <v>1</v>
      </c>
      <c r="B56" s="1230" t="s">
        <v>1593</v>
      </c>
      <c r="C56" s="486" t="s">
        <v>1594</v>
      </c>
      <c r="D56" s="486">
        <v>2</v>
      </c>
      <c r="E56" s="486">
        <v>68.87</v>
      </c>
      <c r="F56" s="1322">
        <f t="shared" si="0"/>
        <v>137.74</v>
      </c>
      <c r="G56" s="1231"/>
      <c r="H56" s="1230"/>
      <c r="I56" s="1230"/>
      <c r="J56" s="1230"/>
      <c r="K56" s="1230"/>
      <c r="L56" s="1230"/>
      <c r="M56" s="1230"/>
      <c r="N56" s="1230"/>
      <c r="O56" s="1230"/>
      <c r="P56" s="1230"/>
      <c r="Q56" s="1230"/>
    </row>
    <row r="57" spans="1:17" ht="15.75">
      <c r="A57" s="255">
        <f t="shared" si="1"/>
        <v>2</v>
      </c>
      <c r="B57" s="231" t="s">
        <v>1595</v>
      </c>
      <c r="C57" s="486" t="s">
        <v>1594</v>
      </c>
      <c r="D57" s="246">
        <v>2</v>
      </c>
      <c r="E57" s="247">
        <v>257</v>
      </c>
      <c r="F57" s="1322">
        <f t="shared" si="0"/>
        <v>514</v>
      </c>
    </row>
    <row r="58" spans="1:17" ht="15.75">
      <c r="A58" s="255">
        <f t="shared" si="1"/>
        <v>3</v>
      </c>
      <c r="B58" s="231" t="s">
        <v>1596</v>
      </c>
      <c r="C58" s="486" t="s">
        <v>1594</v>
      </c>
      <c r="D58" s="246">
        <v>20</v>
      </c>
      <c r="E58" s="247">
        <v>30.95</v>
      </c>
      <c r="F58" s="1322">
        <f t="shared" si="0"/>
        <v>619</v>
      </c>
    </row>
    <row r="59" spans="1:17" ht="15.75">
      <c r="A59" s="255">
        <f t="shared" si="1"/>
        <v>4</v>
      </c>
      <c r="B59" s="231" t="s">
        <v>1597</v>
      </c>
      <c r="C59" s="486" t="s">
        <v>1594</v>
      </c>
      <c r="D59" s="246">
        <v>20</v>
      </c>
      <c r="E59" s="247">
        <v>22</v>
      </c>
      <c r="F59" s="1322">
        <f t="shared" si="0"/>
        <v>440</v>
      </c>
    </row>
    <row r="60" spans="1:17" ht="15.75">
      <c r="A60" s="255">
        <f t="shared" si="1"/>
        <v>5</v>
      </c>
      <c r="B60" s="231" t="s">
        <v>1598</v>
      </c>
      <c r="C60" s="486" t="s">
        <v>1594</v>
      </c>
      <c r="D60" s="246">
        <v>100</v>
      </c>
      <c r="E60" s="247">
        <v>14</v>
      </c>
      <c r="F60" s="1322">
        <f t="shared" si="0"/>
        <v>1400</v>
      </c>
    </row>
    <row r="61" spans="1:17" ht="15.75">
      <c r="A61" s="255">
        <f t="shared" si="1"/>
        <v>6</v>
      </c>
      <c r="B61" s="231" t="s">
        <v>1599</v>
      </c>
      <c r="C61" s="486" t="s">
        <v>1594</v>
      </c>
      <c r="D61" s="246">
        <v>50</v>
      </c>
      <c r="E61" s="247">
        <v>21.04</v>
      </c>
      <c r="F61" s="1322">
        <f t="shared" si="0"/>
        <v>1052</v>
      </c>
    </row>
    <row r="62" spans="1:17" ht="15.75" customHeight="1">
      <c r="A62" s="255">
        <f t="shared" si="1"/>
        <v>7</v>
      </c>
      <c r="B62" s="231" t="s">
        <v>1600</v>
      </c>
      <c r="C62" s="486" t="s">
        <v>1594</v>
      </c>
      <c r="D62" s="246">
        <v>25</v>
      </c>
      <c r="E62" s="247">
        <v>15.89</v>
      </c>
      <c r="F62" s="1322">
        <f t="shared" si="0"/>
        <v>397.25</v>
      </c>
    </row>
    <row r="63" spans="1:17" ht="15.75" customHeight="1">
      <c r="A63" s="255">
        <f t="shared" si="1"/>
        <v>8</v>
      </c>
      <c r="B63" s="257" t="s">
        <v>1601</v>
      </c>
      <c r="C63" s="486" t="s">
        <v>1594</v>
      </c>
      <c r="D63" s="147">
        <v>10</v>
      </c>
      <c r="E63" s="247">
        <v>17.010000000000002</v>
      </c>
      <c r="F63" s="1322">
        <f t="shared" si="0"/>
        <v>170.1</v>
      </c>
    </row>
    <row r="64" spans="1:17" ht="15.75">
      <c r="A64" s="255">
        <f t="shared" si="1"/>
        <v>9</v>
      </c>
      <c r="B64" s="257" t="s">
        <v>1602</v>
      </c>
      <c r="C64" s="486" t="s">
        <v>1594</v>
      </c>
      <c r="D64" s="147">
        <v>50</v>
      </c>
      <c r="E64" s="247">
        <v>77</v>
      </c>
      <c r="F64" s="1322">
        <f t="shared" si="0"/>
        <v>3850</v>
      </c>
    </row>
    <row r="65" spans="1:6" ht="15.75">
      <c r="A65" s="255">
        <f t="shared" si="1"/>
        <v>10</v>
      </c>
      <c r="B65" s="257" t="s">
        <v>1603</v>
      </c>
      <c r="C65" s="486" t="s">
        <v>1594</v>
      </c>
      <c r="D65" s="147">
        <v>20</v>
      </c>
      <c r="E65" s="247">
        <v>17</v>
      </c>
      <c r="F65" s="1322">
        <f t="shared" si="0"/>
        <v>340</v>
      </c>
    </row>
    <row r="66" spans="1:6" ht="15.75" customHeight="1">
      <c r="A66" s="255">
        <f t="shared" si="1"/>
        <v>11</v>
      </c>
      <c r="B66" s="257" t="s">
        <v>1604</v>
      </c>
      <c r="C66" s="486" t="s">
        <v>1594</v>
      </c>
      <c r="D66" s="147">
        <v>10</v>
      </c>
      <c r="E66" s="247">
        <v>234.92</v>
      </c>
      <c r="F66" s="1322">
        <f t="shared" si="0"/>
        <v>2349.1999999999998</v>
      </c>
    </row>
    <row r="67" spans="1:6" ht="15.75" customHeight="1">
      <c r="A67" s="255">
        <f t="shared" si="1"/>
        <v>12</v>
      </c>
      <c r="B67" s="257" t="s">
        <v>1605</v>
      </c>
      <c r="C67" s="486" t="s">
        <v>1594</v>
      </c>
      <c r="D67" s="147">
        <v>10</v>
      </c>
      <c r="E67" s="247">
        <v>195</v>
      </c>
      <c r="F67" s="1322">
        <f t="shared" si="0"/>
        <v>1950</v>
      </c>
    </row>
    <row r="68" spans="1:6" ht="15.75">
      <c r="A68" s="255">
        <f t="shared" si="1"/>
        <v>13</v>
      </c>
      <c r="B68" s="257" t="s">
        <v>1592</v>
      </c>
      <c r="C68" s="486" t="s">
        <v>1594</v>
      </c>
      <c r="D68" s="147">
        <v>10</v>
      </c>
      <c r="E68" s="247">
        <v>58.5</v>
      </c>
      <c r="F68" s="1322">
        <f t="shared" si="0"/>
        <v>585</v>
      </c>
    </row>
    <row r="69" spans="1:6" ht="15.75">
      <c r="A69" s="255">
        <f t="shared" si="1"/>
        <v>14</v>
      </c>
      <c r="B69" s="257" t="s">
        <v>1606</v>
      </c>
      <c r="C69" s="486" t="s">
        <v>1594</v>
      </c>
      <c r="D69" s="147">
        <v>5</v>
      </c>
      <c r="E69" s="247">
        <v>22.28</v>
      </c>
      <c r="F69" s="1322">
        <f t="shared" si="0"/>
        <v>111.4</v>
      </c>
    </row>
    <row r="70" spans="1:6" ht="15.75">
      <c r="A70" s="255">
        <f t="shared" si="1"/>
        <v>15</v>
      </c>
      <c r="B70" s="257" t="s">
        <v>1607</v>
      </c>
      <c r="C70" s="486" t="s">
        <v>1594</v>
      </c>
      <c r="D70" s="147">
        <v>5</v>
      </c>
      <c r="E70" s="247">
        <v>29.98</v>
      </c>
      <c r="F70" s="1322">
        <f t="shared" si="0"/>
        <v>149.9</v>
      </c>
    </row>
    <row r="71" spans="1:6" ht="15.75">
      <c r="A71" s="255">
        <f t="shared" si="1"/>
        <v>16</v>
      </c>
      <c r="B71" s="257" t="s">
        <v>1608</v>
      </c>
      <c r="C71" s="486" t="s">
        <v>1594</v>
      </c>
      <c r="D71" s="147">
        <v>10</v>
      </c>
      <c r="E71" s="247">
        <v>23</v>
      </c>
      <c r="F71" s="1322">
        <f t="shared" si="0"/>
        <v>230</v>
      </c>
    </row>
    <row r="72" spans="1:6" ht="15.75">
      <c r="A72" s="255">
        <f t="shared" si="1"/>
        <v>17</v>
      </c>
      <c r="B72" s="257" t="s">
        <v>1609</v>
      </c>
      <c r="C72" s="486" t="s">
        <v>1594</v>
      </c>
      <c r="D72" s="147">
        <v>20</v>
      </c>
      <c r="E72" s="247">
        <v>110.23</v>
      </c>
      <c r="F72" s="1322">
        <f t="shared" ref="F72:F90" si="2">ROUND(D72*E72,2)</f>
        <v>2204.6</v>
      </c>
    </row>
    <row r="73" spans="1:6" ht="15.75">
      <c r="A73" s="255">
        <f t="shared" si="1"/>
        <v>18</v>
      </c>
      <c r="B73" s="257" t="s">
        <v>1610</v>
      </c>
      <c r="C73" s="486" t="s">
        <v>1594</v>
      </c>
      <c r="D73" s="147">
        <v>20</v>
      </c>
      <c r="E73" s="247">
        <v>180.4</v>
      </c>
      <c r="F73" s="1322">
        <f t="shared" si="2"/>
        <v>3608</v>
      </c>
    </row>
    <row r="74" spans="1:6" ht="15.75" customHeight="1">
      <c r="A74" s="255">
        <f t="shared" ref="A74:A137" si="3">A73+1</f>
        <v>19</v>
      </c>
      <c r="B74" s="257" t="s">
        <v>1611</v>
      </c>
      <c r="C74" s="486" t="s">
        <v>1594</v>
      </c>
      <c r="D74" s="147">
        <v>2</v>
      </c>
      <c r="E74" s="247">
        <v>151.80000000000001</v>
      </c>
      <c r="F74" s="1322">
        <f t="shared" si="2"/>
        <v>303.60000000000002</v>
      </c>
    </row>
    <row r="75" spans="1:6" ht="15.75">
      <c r="A75" s="255">
        <f t="shared" si="3"/>
        <v>20</v>
      </c>
      <c r="B75" s="257" t="s">
        <v>1612</v>
      </c>
      <c r="C75" s="486" t="s">
        <v>1594</v>
      </c>
      <c r="D75" s="147">
        <v>3</v>
      </c>
      <c r="E75" s="247">
        <v>57</v>
      </c>
      <c r="F75" s="1322">
        <f t="shared" si="2"/>
        <v>171</v>
      </c>
    </row>
    <row r="76" spans="1:6" ht="15.75">
      <c r="A76" s="255">
        <f t="shared" si="3"/>
        <v>21</v>
      </c>
      <c r="B76" s="257" t="s">
        <v>1613</v>
      </c>
      <c r="C76" s="486" t="s">
        <v>1594</v>
      </c>
      <c r="D76" s="147">
        <v>3</v>
      </c>
      <c r="E76" s="247">
        <v>137.99</v>
      </c>
      <c r="F76" s="1322">
        <f t="shared" si="2"/>
        <v>413.97</v>
      </c>
    </row>
    <row r="77" spans="1:6" ht="15.75">
      <c r="A77" s="255">
        <f t="shared" si="3"/>
        <v>22</v>
      </c>
      <c r="B77" s="257" t="s">
        <v>1614</v>
      </c>
      <c r="C77" s="486" t="s">
        <v>1594</v>
      </c>
      <c r="D77" s="147">
        <v>10</v>
      </c>
      <c r="E77" s="247">
        <v>7.02</v>
      </c>
      <c r="F77" s="1322">
        <f t="shared" si="2"/>
        <v>70.2</v>
      </c>
    </row>
    <row r="78" spans="1:6" ht="15.75">
      <c r="A78" s="255">
        <f t="shared" si="3"/>
        <v>23</v>
      </c>
      <c r="B78" s="257" t="s">
        <v>1615</v>
      </c>
      <c r="C78" s="486" t="s">
        <v>1594</v>
      </c>
      <c r="D78" s="147">
        <v>50</v>
      </c>
      <c r="E78" s="247">
        <v>20</v>
      </c>
      <c r="F78" s="1322">
        <f t="shared" si="2"/>
        <v>1000</v>
      </c>
    </row>
    <row r="79" spans="1:6" ht="29.25" customHeight="1">
      <c r="A79" s="255">
        <f t="shared" si="3"/>
        <v>24</v>
      </c>
      <c r="B79" s="257" t="s">
        <v>1616</v>
      </c>
      <c r="C79" s="486" t="s">
        <v>1594</v>
      </c>
      <c r="D79" s="246">
        <v>5</v>
      </c>
      <c r="E79" s="247">
        <v>45.03</v>
      </c>
      <c r="F79" s="1322">
        <f t="shared" si="2"/>
        <v>225.15</v>
      </c>
    </row>
    <row r="80" spans="1:6" ht="30.75" customHeight="1">
      <c r="A80" s="255">
        <f t="shared" si="3"/>
        <v>25</v>
      </c>
      <c r="B80" s="257" t="s">
        <v>1617</v>
      </c>
      <c r="C80" s="486" t="s">
        <v>1594</v>
      </c>
      <c r="D80" s="246">
        <v>5</v>
      </c>
      <c r="E80" s="247">
        <v>95.7</v>
      </c>
      <c r="F80" s="1322">
        <f t="shared" si="2"/>
        <v>478.5</v>
      </c>
    </row>
    <row r="81" spans="1:6" ht="15.75">
      <c r="A81" s="255">
        <f t="shared" si="3"/>
        <v>26</v>
      </c>
      <c r="B81" s="257" t="s">
        <v>1618</v>
      </c>
      <c r="C81" s="486" t="s">
        <v>1594</v>
      </c>
      <c r="D81" s="147">
        <v>3</v>
      </c>
      <c r="E81" s="247">
        <v>192.5</v>
      </c>
      <c r="F81" s="1322">
        <f t="shared" si="2"/>
        <v>577.5</v>
      </c>
    </row>
    <row r="82" spans="1:6" ht="15.75">
      <c r="A82" s="255">
        <f t="shared" si="3"/>
        <v>27</v>
      </c>
      <c r="B82" s="257" t="s">
        <v>1619</v>
      </c>
      <c r="C82" s="486" t="s">
        <v>1594</v>
      </c>
      <c r="D82" s="147">
        <v>10</v>
      </c>
      <c r="E82" s="247">
        <v>5.19</v>
      </c>
      <c r="F82" s="1322">
        <f t="shared" si="2"/>
        <v>51.9</v>
      </c>
    </row>
    <row r="83" spans="1:6" ht="15.75" customHeight="1">
      <c r="A83" s="255">
        <f t="shared" si="3"/>
        <v>28</v>
      </c>
      <c r="B83" s="257" t="s">
        <v>1620</v>
      </c>
      <c r="C83" s="486" t="s">
        <v>1594</v>
      </c>
      <c r="D83" s="147">
        <v>10</v>
      </c>
      <c r="E83" s="247">
        <v>11.33</v>
      </c>
      <c r="F83" s="1322">
        <f t="shared" si="2"/>
        <v>113.3</v>
      </c>
    </row>
    <row r="84" spans="1:6" ht="15.75" customHeight="1">
      <c r="A84" s="255">
        <f t="shared" si="3"/>
        <v>29</v>
      </c>
      <c r="B84" s="257" t="s">
        <v>1621</v>
      </c>
      <c r="C84" s="486" t="s">
        <v>1594</v>
      </c>
      <c r="D84" s="147">
        <v>3</v>
      </c>
      <c r="E84" s="247">
        <v>25.68</v>
      </c>
      <c r="F84" s="1322">
        <f t="shared" si="2"/>
        <v>77.040000000000006</v>
      </c>
    </row>
    <row r="85" spans="1:6" ht="15.75">
      <c r="A85" s="255">
        <f t="shared" si="3"/>
        <v>30</v>
      </c>
      <c r="B85" s="257" t="s">
        <v>1622</v>
      </c>
      <c r="C85" s="486" t="s">
        <v>1594</v>
      </c>
      <c r="D85" s="147">
        <v>50</v>
      </c>
      <c r="E85" s="247">
        <v>38</v>
      </c>
      <c r="F85" s="1322">
        <f t="shared" si="2"/>
        <v>1900</v>
      </c>
    </row>
    <row r="86" spans="1:6" ht="15.75">
      <c r="A86" s="255">
        <f t="shared" si="3"/>
        <v>31</v>
      </c>
      <c r="B86" s="257" t="s">
        <v>329</v>
      </c>
      <c r="C86" s="486" t="s">
        <v>1594</v>
      </c>
      <c r="D86" s="147">
        <v>5</v>
      </c>
      <c r="E86" s="247">
        <v>23.68</v>
      </c>
      <c r="F86" s="1322">
        <f t="shared" si="2"/>
        <v>118.4</v>
      </c>
    </row>
    <row r="87" spans="1:6" ht="30.75" customHeight="1">
      <c r="A87" s="255">
        <f t="shared" si="3"/>
        <v>32</v>
      </c>
      <c r="B87" s="257" t="s">
        <v>330</v>
      </c>
      <c r="C87" s="486" t="s">
        <v>1594</v>
      </c>
      <c r="D87" s="246">
        <v>3</v>
      </c>
      <c r="E87" s="247">
        <v>59</v>
      </c>
      <c r="F87" s="1322">
        <f t="shared" si="2"/>
        <v>177</v>
      </c>
    </row>
    <row r="88" spans="1:6" ht="15.75">
      <c r="A88" s="255">
        <f t="shared" si="3"/>
        <v>33</v>
      </c>
      <c r="B88" s="257" t="s">
        <v>331</v>
      </c>
      <c r="C88" s="486" t="s">
        <v>1594</v>
      </c>
      <c r="D88" s="246">
        <v>20</v>
      </c>
      <c r="E88" s="247">
        <v>35</v>
      </c>
      <c r="F88" s="1322">
        <f t="shared" si="2"/>
        <v>700</v>
      </c>
    </row>
    <row r="89" spans="1:6" ht="15.75" customHeight="1">
      <c r="A89" s="255">
        <f t="shared" si="3"/>
        <v>34</v>
      </c>
      <c r="B89" s="257" t="s">
        <v>332</v>
      </c>
      <c r="C89" s="486" t="s">
        <v>1594</v>
      </c>
      <c r="D89" s="246">
        <v>50</v>
      </c>
      <c r="E89" s="247">
        <v>8</v>
      </c>
      <c r="F89" s="1322">
        <f t="shared" si="2"/>
        <v>400</v>
      </c>
    </row>
    <row r="90" spans="1:6" ht="15.75">
      <c r="A90" s="255">
        <f t="shared" si="3"/>
        <v>35</v>
      </c>
      <c r="B90" s="257" t="s">
        <v>333</v>
      </c>
      <c r="C90" s="486" t="s">
        <v>1594</v>
      </c>
      <c r="D90" s="246">
        <v>10</v>
      </c>
      <c r="E90" s="247">
        <v>12</v>
      </c>
      <c r="F90" s="1322">
        <f t="shared" si="2"/>
        <v>120</v>
      </c>
    </row>
    <row r="91" spans="1:6" ht="15.75" customHeight="1">
      <c r="A91" s="255"/>
      <c r="B91" s="1871" t="s">
        <v>882</v>
      </c>
      <c r="C91" s="1482"/>
      <c r="D91" s="1482"/>
      <c r="E91" s="1872"/>
      <c r="F91" s="1321">
        <f>SUM(F92:F121)</f>
        <v>17220</v>
      </c>
    </row>
    <row r="92" spans="1:6" ht="15.75" hidden="1">
      <c r="A92" s="255">
        <v>1</v>
      </c>
      <c r="B92" s="257" t="s">
        <v>543</v>
      </c>
      <c r="C92" s="147" t="s">
        <v>1594</v>
      </c>
      <c r="D92" s="147">
        <v>0</v>
      </c>
      <c r="E92" s="247">
        <v>23</v>
      </c>
      <c r="F92" s="1323">
        <f t="shared" ref="F92:F121" si="4">ROUND(D92*E92,2)</f>
        <v>0</v>
      </c>
    </row>
    <row r="93" spans="1:6" ht="15.75" hidden="1">
      <c r="A93" s="255">
        <f t="shared" si="3"/>
        <v>2</v>
      </c>
      <c r="B93" s="257" t="s">
        <v>545</v>
      </c>
      <c r="C93" s="147" t="s">
        <v>1594</v>
      </c>
      <c r="D93" s="147">
        <v>0</v>
      </c>
      <c r="E93" s="247">
        <v>28.99</v>
      </c>
      <c r="F93" s="1323">
        <f t="shared" si="4"/>
        <v>0</v>
      </c>
    </row>
    <row r="94" spans="1:6" ht="15.75" hidden="1">
      <c r="A94" s="255">
        <f t="shared" si="3"/>
        <v>3</v>
      </c>
      <c r="B94" s="257" t="s">
        <v>544</v>
      </c>
      <c r="C94" s="147" t="s">
        <v>1594</v>
      </c>
      <c r="D94" s="147">
        <v>0</v>
      </c>
      <c r="E94" s="247">
        <v>30.99</v>
      </c>
      <c r="F94" s="1323">
        <f t="shared" si="4"/>
        <v>0</v>
      </c>
    </row>
    <row r="95" spans="1:6" ht="15.75" hidden="1">
      <c r="A95" s="255">
        <f t="shared" si="3"/>
        <v>4</v>
      </c>
      <c r="B95" s="257" t="s">
        <v>546</v>
      </c>
      <c r="C95" s="147" t="s">
        <v>1594</v>
      </c>
      <c r="D95" s="147">
        <v>0</v>
      </c>
      <c r="E95" s="247">
        <v>20.99</v>
      </c>
      <c r="F95" s="1323">
        <f t="shared" si="4"/>
        <v>0</v>
      </c>
    </row>
    <row r="96" spans="1:6" ht="15.75" hidden="1">
      <c r="A96" s="255">
        <f t="shared" si="3"/>
        <v>5</v>
      </c>
      <c r="B96" s="257" t="s">
        <v>547</v>
      </c>
      <c r="C96" s="147" t="s">
        <v>1594</v>
      </c>
      <c r="D96" s="147">
        <v>0</v>
      </c>
      <c r="E96" s="247">
        <v>168</v>
      </c>
      <c r="F96" s="1323">
        <f t="shared" si="4"/>
        <v>0</v>
      </c>
    </row>
    <row r="97" spans="1:6" ht="15.75" hidden="1">
      <c r="A97" s="255">
        <f t="shared" si="3"/>
        <v>6</v>
      </c>
      <c r="B97" s="257" t="s">
        <v>548</v>
      </c>
      <c r="C97" s="147" t="s">
        <v>1594</v>
      </c>
      <c r="D97" s="147">
        <v>0</v>
      </c>
      <c r="E97" s="247">
        <v>53.99</v>
      </c>
      <c r="F97" s="1323">
        <f t="shared" si="4"/>
        <v>0</v>
      </c>
    </row>
    <row r="98" spans="1:6" ht="15.75" hidden="1">
      <c r="A98" s="255">
        <f t="shared" si="3"/>
        <v>7</v>
      </c>
      <c r="B98" s="257" t="s">
        <v>549</v>
      </c>
      <c r="C98" s="147" t="s">
        <v>1594</v>
      </c>
      <c r="D98" s="147">
        <v>0</v>
      </c>
      <c r="E98" s="247">
        <v>67</v>
      </c>
      <c r="F98" s="1323">
        <f t="shared" si="4"/>
        <v>0</v>
      </c>
    </row>
    <row r="99" spans="1:6" ht="15.75" hidden="1">
      <c r="A99" s="255">
        <f t="shared" si="3"/>
        <v>8</v>
      </c>
      <c r="B99" s="257" t="s">
        <v>550</v>
      </c>
      <c r="C99" s="147" t="s">
        <v>1594</v>
      </c>
      <c r="D99" s="147">
        <v>0</v>
      </c>
      <c r="E99" s="247">
        <v>94.98</v>
      </c>
      <c r="F99" s="1323">
        <f t="shared" si="4"/>
        <v>0</v>
      </c>
    </row>
    <row r="100" spans="1:6" ht="15.75" hidden="1">
      <c r="A100" s="255">
        <f t="shared" si="3"/>
        <v>9</v>
      </c>
      <c r="B100" s="257" t="s">
        <v>551</v>
      </c>
      <c r="C100" s="147" t="s">
        <v>1594</v>
      </c>
      <c r="D100" s="147">
        <v>0</v>
      </c>
      <c r="E100" s="247">
        <v>115</v>
      </c>
      <c r="F100" s="1323">
        <f t="shared" si="4"/>
        <v>0</v>
      </c>
    </row>
    <row r="101" spans="1:6" ht="15.75" hidden="1">
      <c r="A101" s="255">
        <f t="shared" si="3"/>
        <v>10</v>
      </c>
      <c r="B101" s="257" t="s">
        <v>552</v>
      </c>
      <c r="C101" s="147" t="s">
        <v>1594</v>
      </c>
      <c r="D101" s="147">
        <v>0</v>
      </c>
      <c r="E101" s="247">
        <v>126</v>
      </c>
      <c r="F101" s="1323">
        <f t="shared" si="4"/>
        <v>0</v>
      </c>
    </row>
    <row r="102" spans="1:6" ht="15.75" hidden="1">
      <c r="A102" s="255">
        <f t="shared" si="3"/>
        <v>11</v>
      </c>
      <c r="B102" s="257" t="s">
        <v>553</v>
      </c>
      <c r="C102" s="147" t="s">
        <v>1594</v>
      </c>
      <c r="D102" s="147">
        <v>0</v>
      </c>
      <c r="E102" s="247">
        <v>30.01</v>
      </c>
      <c r="F102" s="1323">
        <f t="shared" si="4"/>
        <v>0</v>
      </c>
    </row>
    <row r="103" spans="1:6" ht="15.75" hidden="1">
      <c r="A103" s="255">
        <f t="shared" si="3"/>
        <v>12</v>
      </c>
      <c r="B103" s="257" t="s">
        <v>554</v>
      </c>
      <c r="C103" s="147" t="s">
        <v>1594</v>
      </c>
      <c r="D103" s="147">
        <v>0</v>
      </c>
      <c r="E103" s="247">
        <v>6</v>
      </c>
      <c r="F103" s="1323">
        <f t="shared" si="4"/>
        <v>0</v>
      </c>
    </row>
    <row r="104" spans="1:6" ht="15.75" hidden="1">
      <c r="A104" s="255">
        <f t="shared" si="3"/>
        <v>13</v>
      </c>
      <c r="B104" s="257" t="s">
        <v>555</v>
      </c>
      <c r="C104" s="147" t="s">
        <v>1594</v>
      </c>
      <c r="D104" s="147">
        <v>0</v>
      </c>
      <c r="E104" s="247">
        <v>6</v>
      </c>
      <c r="F104" s="1323">
        <f t="shared" si="4"/>
        <v>0</v>
      </c>
    </row>
    <row r="105" spans="1:6" ht="31.5" hidden="1">
      <c r="A105" s="255">
        <f t="shared" si="3"/>
        <v>14</v>
      </c>
      <c r="B105" s="169" t="s">
        <v>556</v>
      </c>
      <c r="C105" s="147" t="s">
        <v>1594</v>
      </c>
      <c r="D105" s="1232">
        <v>0</v>
      </c>
      <c r="E105" s="247">
        <v>19.989999999999998</v>
      </c>
      <c r="F105" s="1323">
        <f t="shared" si="4"/>
        <v>0</v>
      </c>
    </row>
    <row r="106" spans="1:6" ht="31.5" hidden="1">
      <c r="A106" s="255">
        <f t="shared" si="3"/>
        <v>15</v>
      </c>
      <c r="B106" s="169" t="s">
        <v>557</v>
      </c>
      <c r="C106" s="147" t="s">
        <v>1594</v>
      </c>
      <c r="D106" s="1232">
        <v>0</v>
      </c>
      <c r="E106" s="247">
        <v>19.989999999999998</v>
      </c>
      <c r="F106" s="1323">
        <f t="shared" si="4"/>
        <v>0</v>
      </c>
    </row>
    <row r="107" spans="1:6" ht="15.75" hidden="1">
      <c r="A107" s="255">
        <f t="shared" si="3"/>
        <v>16</v>
      </c>
      <c r="B107" s="257" t="s">
        <v>558</v>
      </c>
      <c r="C107" s="147" t="s">
        <v>1594</v>
      </c>
      <c r="D107" s="1232">
        <v>0</v>
      </c>
      <c r="E107" s="247">
        <v>42.99</v>
      </c>
      <c r="F107" s="1323">
        <f t="shared" si="4"/>
        <v>0</v>
      </c>
    </row>
    <row r="108" spans="1:6" ht="15.75" hidden="1">
      <c r="A108" s="255">
        <f t="shared" si="3"/>
        <v>17</v>
      </c>
      <c r="B108" s="257" t="s">
        <v>559</v>
      </c>
      <c r="C108" s="147" t="s">
        <v>1594</v>
      </c>
      <c r="D108" s="1232">
        <v>0</v>
      </c>
      <c r="E108" s="247">
        <v>5.99</v>
      </c>
      <c r="F108" s="1323">
        <f t="shared" si="4"/>
        <v>0</v>
      </c>
    </row>
    <row r="109" spans="1:6" ht="15.75" hidden="1" customHeight="1">
      <c r="A109" s="255">
        <f t="shared" si="3"/>
        <v>18</v>
      </c>
      <c r="B109" s="257" t="s">
        <v>560</v>
      </c>
      <c r="C109" s="147" t="s">
        <v>1594</v>
      </c>
      <c r="D109" s="1232">
        <v>0</v>
      </c>
      <c r="E109" s="247">
        <v>4</v>
      </c>
      <c r="F109" s="1323">
        <f t="shared" si="4"/>
        <v>0</v>
      </c>
    </row>
    <row r="110" spans="1:6" ht="13.5" hidden="1" customHeight="1">
      <c r="A110" s="255">
        <f t="shared" si="3"/>
        <v>19</v>
      </c>
      <c r="B110" s="257" t="s">
        <v>561</v>
      </c>
      <c r="C110" s="147" t="s">
        <v>1594</v>
      </c>
      <c r="D110" s="1232">
        <v>0</v>
      </c>
      <c r="E110" s="247">
        <v>8.99</v>
      </c>
      <c r="F110" s="1323">
        <f t="shared" si="4"/>
        <v>0</v>
      </c>
    </row>
    <row r="111" spans="1:6" ht="15.75" hidden="1">
      <c r="A111" s="255">
        <f t="shared" si="3"/>
        <v>20</v>
      </c>
      <c r="B111" s="257" t="s">
        <v>562</v>
      </c>
      <c r="C111" s="147" t="s">
        <v>1594</v>
      </c>
      <c r="D111" s="1232">
        <v>0</v>
      </c>
      <c r="E111" s="247">
        <v>36</v>
      </c>
      <c r="F111" s="1323">
        <f t="shared" si="4"/>
        <v>0</v>
      </c>
    </row>
    <row r="112" spans="1:6" ht="15.75" hidden="1">
      <c r="A112" s="255">
        <f t="shared" si="3"/>
        <v>21</v>
      </c>
      <c r="B112" s="257" t="s">
        <v>563</v>
      </c>
      <c r="C112" s="147" t="s">
        <v>1594</v>
      </c>
      <c r="D112" s="1232">
        <v>0</v>
      </c>
      <c r="E112" s="247">
        <v>67</v>
      </c>
      <c r="F112" s="1323">
        <f t="shared" si="4"/>
        <v>0</v>
      </c>
    </row>
    <row r="113" spans="1:6" ht="15.75" hidden="1">
      <c r="A113" s="255">
        <f t="shared" si="3"/>
        <v>22</v>
      </c>
      <c r="B113" s="257" t="s">
        <v>564</v>
      </c>
      <c r="C113" s="147" t="s">
        <v>1594</v>
      </c>
      <c r="D113" s="1232">
        <v>0</v>
      </c>
      <c r="E113" s="247">
        <v>38.99</v>
      </c>
      <c r="F113" s="1323">
        <f t="shared" si="4"/>
        <v>0</v>
      </c>
    </row>
    <row r="114" spans="1:6" ht="15.75" hidden="1">
      <c r="A114" s="255">
        <f t="shared" si="3"/>
        <v>23</v>
      </c>
      <c r="B114" s="257" t="s">
        <v>565</v>
      </c>
      <c r="C114" s="147" t="s">
        <v>1594</v>
      </c>
      <c r="D114" s="1232">
        <v>0</v>
      </c>
      <c r="E114" s="247">
        <v>248</v>
      </c>
      <c r="F114" s="1323">
        <f t="shared" si="4"/>
        <v>0</v>
      </c>
    </row>
    <row r="115" spans="1:6" ht="15.75" hidden="1">
      <c r="A115" s="255">
        <f t="shared" si="3"/>
        <v>24</v>
      </c>
      <c r="B115" s="257" t="s">
        <v>566</v>
      </c>
      <c r="C115" s="147" t="s">
        <v>1594</v>
      </c>
      <c r="D115" s="1232">
        <v>0</v>
      </c>
      <c r="E115" s="247">
        <v>16</v>
      </c>
      <c r="F115" s="1323">
        <f t="shared" si="4"/>
        <v>0</v>
      </c>
    </row>
    <row r="116" spans="1:6" ht="15.75" hidden="1">
      <c r="A116" s="255">
        <f t="shared" si="3"/>
        <v>25</v>
      </c>
      <c r="B116" s="257" t="s">
        <v>567</v>
      </c>
      <c r="C116" s="147" t="s">
        <v>1594</v>
      </c>
      <c r="D116" s="147">
        <v>0</v>
      </c>
      <c r="E116" s="247">
        <v>22</v>
      </c>
      <c r="F116" s="1323">
        <f t="shared" si="4"/>
        <v>0</v>
      </c>
    </row>
    <row r="117" spans="1:6" ht="15.75" hidden="1">
      <c r="A117" s="255">
        <f t="shared" si="3"/>
        <v>26</v>
      </c>
      <c r="B117" s="257" t="s">
        <v>568</v>
      </c>
      <c r="C117" s="147" t="s">
        <v>1594</v>
      </c>
      <c r="D117" s="147">
        <v>0</v>
      </c>
      <c r="E117" s="247">
        <v>11</v>
      </c>
      <c r="F117" s="1323">
        <f t="shared" si="4"/>
        <v>0</v>
      </c>
    </row>
    <row r="118" spans="1:6" ht="15.75" hidden="1">
      <c r="A118" s="255">
        <f t="shared" si="3"/>
        <v>27</v>
      </c>
      <c r="B118" s="257" t="s">
        <v>569</v>
      </c>
      <c r="C118" s="147" t="s">
        <v>1594</v>
      </c>
      <c r="D118" s="147">
        <v>0</v>
      </c>
      <c r="E118" s="247">
        <v>12</v>
      </c>
      <c r="F118" s="1323">
        <f t="shared" si="4"/>
        <v>0</v>
      </c>
    </row>
    <row r="119" spans="1:6" ht="31.5">
      <c r="A119" s="255">
        <v>1</v>
      </c>
      <c r="B119" s="257" t="s">
        <v>1944</v>
      </c>
      <c r="C119" s="147" t="s">
        <v>889</v>
      </c>
      <c r="D119" s="147">
        <v>6</v>
      </c>
      <c r="E119" s="247">
        <v>1590</v>
      </c>
      <c r="F119" s="1323">
        <f t="shared" si="4"/>
        <v>9540</v>
      </c>
    </row>
    <row r="120" spans="1:6" ht="31.5">
      <c r="A120" s="255">
        <f t="shared" si="3"/>
        <v>2</v>
      </c>
      <c r="B120" s="257" t="s">
        <v>1945</v>
      </c>
      <c r="C120" s="147" t="s">
        <v>889</v>
      </c>
      <c r="D120" s="147">
        <v>6</v>
      </c>
      <c r="E120" s="247">
        <v>640</v>
      </c>
      <c r="F120" s="1323">
        <f t="shared" si="4"/>
        <v>3840</v>
      </c>
    </row>
    <row r="121" spans="1:6" ht="31.5">
      <c r="A121" s="255">
        <f t="shared" si="3"/>
        <v>3</v>
      </c>
      <c r="B121" s="257" t="s">
        <v>1946</v>
      </c>
      <c r="C121" s="147" t="s">
        <v>889</v>
      </c>
      <c r="D121" s="147">
        <v>12</v>
      </c>
      <c r="E121" s="247">
        <v>320</v>
      </c>
      <c r="F121" s="1323">
        <f t="shared" si="4"/>
        <v>3840</v>
      </c>
    </row>
    <row r="122" spans="1:6" ht="15.75">
      <c r="A122" s="255"/>
      <c r="B122" s="1871" t="s">
        <v>570</v>
      </c>
      <c r="C122" s="1482"/>
      <c r="D122" s="1482"/>
      <c r="E122" s="1872"/>
      <c r="F122" s="1321">
        <f>SUM(F123:F159)</f>
        <v>21794.999999999996</v>
      </c>
    </row>
    <row r="123" spans="1:6" ht="15.75">
      <c r="A123" s="255">
        <f t="shared" si="3"/>
        <v>1</v>
      </c>
      <c r="B123" s="364" t="s">
        <v>609</v>
      </c>
      <c r="C123" s="318" t="s">
        <v>889</v>
      </c>
      <c r="D123" s="318">
        <v>10</v>
      </c>
      <c r="E123" s="500">
        <v>20.7</v>
      </c>
      <c r="F123" s="462">
        <f>E123*D123</f>
        <v>207</v>
      </c>
    </row>
    <row r="124" spans="1:6" ht="15.75">
      <c r="A124" s="255">
        <f t="shared" si="3"/>
        <v>2</v>
      </c>
      <c r="B124" s="364" t="s">
        <v>608</v>
      </c>
      <c r="C124" s="318" t="s">
        <v>889</v>
      </c>
      <c r="D124" s="318">
        <v>50</v>
      </c>
      <c r="E124" s="500">
        <v>210</v>
      </c>
      <c r="F124" s="462">
        <f t="shared" ref="F124:F159" si="5">E124*D124</f>
        <v>10500</v>
      </c>
    </row>
    <row r="125" spans="1:6" ht="15.75">
      <c r="A125" s="255">
        <f t="shared" si="3"/>
        <v>3</v>
      </c>
      <c r="B125" s="347" t="s">
        <v>607</v>
      </c>
      <c r="C125" s="317" t="s">
        <v>889</v>
      </c>
      <c r="D125" s="318">
        <v>5</v>
      </c>
      <c r="E125" s="500">
        <v>39.6</v>
      </c>
      <c r="F125" s="462">
        <f t="shared" si="5"/>
        <v>198</v>
      </c>
    </row>
    <row r="126" spans="1:6" ht="15.75">
      <c r="A126" s="255">
        <f t="shared" si="3"/>
        <v>4</v>
      </c>
      <c r="B126" s="364" t="s">
        <v>606</v>
      </c>
      <c r="C126" s="318" t="s">
        <v>889</v>
      </c>
      <c r="D126" s="318">
        <v>20</v>
      </c>
      <c r="E126" s="500">
        <v>5</v>
      </c>
      <c r="F126" s="462">
        <f t="shared" si="5"/>
        <v>100</v>
      </c>
    </row>
    <row r="127" spans="1:6" ht="15.75">
      <c r="A127" s="255">
        <f t="shared" si="3"/>
        <v>5</v>
      </c>
      <c r="B127" s="364" t="s">
        <v>605</v>
      </c>
      <c r="C127" s="318" t="s">
        <v>889</v>
      </c>
      <c r="D127" s="318">
        <v>10</v>
      </c>
      <c r="E127" s="500">
        <v>9.1999999999999993</v>
      </c>
      <c r="F127" s="462">
        <f t="shared" si="5"/>
        <v>92</v>
      </c>
    </row>
    <row r="128" spans="1:6" ht="31.5">
      <c r="A128" s="255">
        <f t="shared" si="3"/>
        <v>6</v>
      </c>
      <c r="B128" s="364" t="s">
        <v>571</v>
      </c>
      <c r="C128" s="318" t="s">
        <v>889</v>
      </c>
      <c r="D128" s="318">
        <v>4</v>
      </c>
      <c r="E128" s="500">
        <v>35.200000000000003</v>
      </c>
      <c r="F128" s="462">
        <f t="shared" si="5"/>
        <v>140.80000000000001</v>
      </c>
    </row>
    <row r="129" spans="1:6" ht="15.75">
      <c r="A129" s="255">
        <f t="shared" si="3"/>
        <v>7</v>
      </c>
      <c r="B129" s="364" t="s">
        <v>604</v>
      </c>
      <c r="C129" s="318" t="s">
        <v>889</v>
      </c>
      <c r="D129" s="318">
        <v>2</v>
      </c>
      <c r="E129" s="500">
        <v>38</v>
      </c>
      <c r="F129" s="462">
        <f t="shared" si="5"/>
        <v>76</v>
      </c>
    </row>
    <row r="130" spans="1:6" ht="15.75">
      <c r="A130" s="255">
        <f t="shared" si="3"/>
        <v>8</v>
      </c>
      <c r="B130" s="364" t="s">
        <v>603</v>
      </c>
      <c r="C130" s="318" t="s">
        <v>572</v>
      </c>
      <c r="D130" s="318">
        <v>1</v>
      </c>
      <c r="E130" s="500">
        <v>256.8</v>
      </c>
      <c r="F130" s="462">
        <f t="shared" si="5"/>
        <v>256.8</v>
      </c>
    </row>
    <row r="131" spans="1:6" ht="15.75">
      <c r="A131" s="255">
        <f t="shared" si="3"/>
        <v>9</v>
      </c>
      <c r="B131" s="364" t="s">
        <v>602</v>
      </c>
      <c r="C131" s="318" t="s">
        <v>572</v>
      </c>
      <c r="D131" s="318">
        <v>10</v>
      </c>
      <c r="E131" s="500">
        <v>22.8</v>
      </c>
      <c r="F131" s="462">
        <f t="shared" si="5"/>
        <v>228</v>
      </c>
    </row>
    <row r="132" spans="1:6" ht="15.75">
      <c r="A132" s="255">
        <f t="shared" si="3"/>
        <v>10</v>
      </c>
      <c r="B132" s="364" t="s">
        <v>601</v>
      </c>
      <c r="C132" s="318" t="s">
        <v>889</v>
      </c>
      <c r="D132" s="318">
        <v>30</v>
      </c>
      <c r="E132" s="500">
        <v>15.2</v>
      </c>
      <c r="F132" s="462">
        <f t="shared" si="5"/>
        <v>456</v>
      </c>
    </row>
    <row r="133" spans="1:6" ht="15.75">
      <c r="A133" s="255">
        <f t="shared" si="3"/>
        <v>11</v>
      </c>
      <c r="B133" s="364" t="s">
        <v>600</v>
      </c>
      <c r="C133" s="318" t="s">
        <v>889</v>
      </c>
      <c r="D133" s="318">
        <v>5</v>
      </c>
      <c r="E133" s="500">
        <v>18.5</v>
      </c>
      <c r="F133" s="462">
        <f t="shared" si="5"/>
        <v>92.5</v>
      </c>
    </row>
    <row r="134" spans="1:6" ht="15.75">
      <c r="A134" s="255">
        <f t="shared" si="3"/>
        <v>12</v>
      </c>
      <c r="B134" s="364" t="s">
        <v>599</v>
      </c>
      <c r="C134" s="318" t="s">
        <v>889</v>
      </c>
      <c r="D134" s="318">
        <v>5</v>
      </c>
      <c r="E134" s="500">
        <v>77</v>
      </c>
      <c r="F134" s="462">
        <f t="shared" si="5"/>
        <v>385</v>
      </c>
    </row>
    <row r="135" spans="1:6" ht="15.75">
      <c r="A135" s="255">
        <f t="shared" si="3"/>
        <v>13</v>
      </c>
      <c r="B135" s="364" t="s">
        <v>598</v>
      </c>
      <c r="C135" s="318" t="s">
        <v>889</v>
      </c>
      <c r="D135" s="318">
        <v>20</v>
      </c>
      <c r="E135" s="500">
        <v>39.200000000000003</v>
      </c>
      <c r="F135" s="462">
        <f t="shared" si="5"/>
        <v>784</v>
      </c>
    </row>
    <row r="136" spans="1:6" ht="15.75">
      <c r="A136" s="255">
        <f t="shared" si="3"/>
        <v>14</v>
      </c>
      <c r="B136" s="364" t="s">
        <v>597</v>
      </c>
      <c r="C136" s="318" t="s">
        <v>889</v>
      </c>
      <c r="D136" s="318">
        <v>20</v>
      </c>
      <c r="E136" s="500">
        <v>8.6999999999999993</v>
      </c>
      <c r="F136" s="462">
        <f t="shared" si="5"/>
        <v>174</v>
      </c>
    </row>
    <row r="137" spans="1:6" ht="15.75">
      <c r="A137" s="255">
        <f t="shared" si="3"/>
        <v>15</v>
      </c>
      <c r="B137" s="364" t="s">
        <v>596</v>
      </c>
      <c r="C137" s="318" t="s">
        <v>889</v>
      </c>
      <c r="D137" s="318">
        <v>2</v>
      </c>
      <c r="E137" s="500">
        <v>331.6</v>
      </c>
      <c r="F137" s="462">
        <f t="shared" si="5"/>
        <v>663.2</v>
      </c>
    </row>
    <row r="138" spans="1:6" ht="15.75">
      <c r="A138" s="255">
        <f t="shared" ref="A138:A201" si="6">A137+1</f>
        <v>16</v>
      </c>
      <c r="B138" s="364" t="s">
        <v>595</v>
      </c>
      <c r="C138" s="318" t="s">
        <v>889</v>
      </c>
      <c r="D138" s="318">
        <v>5</v>
      </c>
      <c r="E138" s="500">
        <v>108</v>
      </c>
      <c r="F138" s="462">
        <f t="shared" si="5"/>
        <v>540</v>
      </c>
    </row>
    <row r="139" spans="1:6" ht="15.75">
      <c r="A139" s="255">
        <f t="shared" si="6"/>
        <v>17</v>
      </c>
      <c r="B139" s="1233" t="s">
        <v>594</v>
      </c>
      <c r="C139" s="318" t="s">
        <v>889</v>
      </c>
      <c r="D139" s="318">
        <v>5</v>
      </c>
      <c r="E139" s="500">
        <v>8.6</v>
      </c>
      <c r="F139" s="462">
        <f t="shared" si="5"/>
        <v>43</v>
      </c>
    </row>
    <row r="140" spans="1:6" ht="31.5">
      <c r="A140" s="255">
        <f t="shared" si="6"/>
        <v>18</v>
      </c>
      <c r="B140" s="1233" t="s">
        <v>593</v>
      </c>
      <c r="C140" s="318" t="s">
        <v>889</v>
      </c>
      <c r="D140" s="318">
        <v>1</v>
      </c>
      <c r="E140" s="500">
        <v>148.80000000000001</v>
      </c>
      <c r="F140" s="462">
        <f t="shared" si="5"/>
        <v>148.80000000000001</v>
      </c>
    </row>
    <row r="141" spans="1:6" ht="15.75">
      <c r="A141" s="255">
        <f t="shared" si="6"/>
        <v>19</v>
      </c>
      <c r="B141" s="1233" t="s">
        <v>592</v>
      </c>
      <c r="C141" s="318" t="s">
        <v>889</v>
      </c>
      <c r="D141" s="318">
        <v>25</v>
      </c>
      <c r="E141" s="500">
        <v>7.3</v>
      </c>
      <c r="F141" s="462">
        <f t="shared" si="5"/>
        <v>182.5</v>
      </c>
    </row>
    <row r="142" spans="1:6" ht="15.75">
      <c r="A142" s="255">
        <f t="shared" si="6"/>
        <v>20</v>
      </c>
      <c r="B142" s="1233" t="s">
        <v>591</v>
      </c>
      <c r="C142" s="318" t="s">
        <v>889</v>
      </c>
      <c r="D142" s="318">
        <v>5</v>
      </c>
      <c r="E142" s="500">
        <v>145.6</v>
      </c>
      <c r="F142" s="462">
        <f t="shared" si="5"/>
        <v>728</v>
      </c>
    </row>
    <row r="143" spans="1:6" ht="31.5">
      <c r="A143" s="255">
        <f t="shared" si="6"/>
        <v>21</v>
      </c>
      <c r="B143" s="1233" t="s">
        <v>573</v>
      </c>
      <c r="C143" s="318" t="s">
        <v>889</v>
      </c>
      <c r="D143" s="318">
        <v>5</v>
      </c>
      <c r="E143" s="500">
        <v>116.5</v>
      </c>
      <c r="F143" s="462">
        <f t="shared" si="5"/>
        <v>582.5</v>
      </c>
    </row>
    <row r="144" spans="1:6" ht="31.5">
      <c r="A144" s="255">
        <f t="shared" si="6"/>
        <v>22</v>
      </c>
      <c r="B144" s="1233" t="s">
        <v>590</v>
      </c>
      <c r="C144" s="318" t="s">
        <v>889</v>
      </c>
      <c r="D144" s="318">
        <v>5</v>
      </c>
      <c r="E144" s="500">
        <v>104.3</v>
      </c>
      <c r="F144" s="462">
        <f t="shared" si="5"/>
        <v>521.5</v>
      </c>
    </row>
    <row r="145" spans="1:6" ht="15.75">
      <c r="A145" s="255">
        <f t="shared" si="6"/>
        <v>23</v>
      </c>
      <c r="B145" s="1233" t="s">
        <v>589</v>
      </c>
      <c r="C145" s="318" t="s">
        <v>889</v>
      </c>
      <c r="D145" s="318">
        <v>100</v>
      </c>
      <c r="E145" s="500">
        <v>4.5</v>
      </c>
      <c r="F145" s="462">
        <f t="shared" si="5"/>
        <v>450</v>
      </c>
    </row>
    <row r="146" spans="1:6" ht="15.75">
      <c r="A146" s="255">
        <f t="shared" si="6"/>
        <v>24</v>
      </c>
      <c r="B146" s="1233" t="s">
        <v>588</v>
      </c>
      <c r="C146" s="318" t="s">
        <v>889</v>
      </c>
      <c r="D146" s="318">
        <v>10</v>
      </c>
      <c r="E146" s="500">
        <v>3.6</v>
      </c>
      <c r="F146" s="462">
        <f t="shared" si="5"/>
        <v>36</v>
      </c>
    </row>
    <row r="147" spans="1:6" ht="15.75">
      <c r="A147" s="255">
        <f t="shared" si="6"/>
        <v>25</v>
      </c>
      <c r="B147" s="1233" t="s">
        <v>587</v>
      </c>
      <c r="C147" s="318" t="s">
        <v>889</v>
      </c>
      <c r="D147" s="318">
        <v>10</v>
      </c>
      <c r="E147" s="500">
        <v>5.5</v>
      </c>
      <c r="F147" s="462">
        <f t="shared" si="5"/>
        <v>55</v>
      </c>
    </row>
    <row r="148" spans="1:6" ht="15.75">
      <c r="A148" s="255">
        <f t="shared" si="6"/>
        <v>26</v>
      </c>
      <c r="B148" s="1233" t="s">
        <v>586</v>
      </c>
      <c r="C148" s="318" t="s">
        <v>889</v>
      </c>
      <c r="D148" s="318">
        <v>5</v>
      </c>
      <c r="E148" s="500">
        <v>23.5</v>
      </c>
      <c r="F148" s="462">
        <f t="shared" si="5"/>
        <v>117.5</v>
      </c>
    </row>
    <row r="149" spans="1:6" ht="15.75">
      <c r="A149" s="255">
        <f t="shared" si="6"/>
        <v>27</v>
      </c>
      <c r="B149" s="1233" t="s">
        <v>585</v>
      </c>
      <c r="C149" s="318" t="s">
        <v>574</v>
      </c>
      <c r="D149" s="318">
        <v>15</v>
      </c>
      <c r="E149" s="500">
        <v>113</v>
      </c>
      <c r="F149" s="462">
        <f t="shared" si="5"/>
        <v>1695</v>
      </c>
    </row>
    <row r="150" spans="1:6" ht="15.75">
      <c r="A150" s="255">
        <f t="shared" si="6"/>
        <v>28</v>
      </c>
      <c r="B150" s="1233" t="s">
        <v>584</v>
      </c>
      <c r="C150" s="318" t="s">
        <v>889</v>
      </c>
      <c r="D150" s="318">
        <v>5</v>
      </c>
      <c r="E150" s="500">
        <v>87.8</v>
      </c>
      <c r="F150" s="462">
        <f t="shared" si="5"/>
        <v>439</v>
      </c>
    </row>
    <row r="151" spans="1:6" ht="15.75">
      <c r="A151" s="255">
        <f t="shared" si="6"/>
        <v>29</v>
      </c>
      <c r="B151" s="1233" t="s">
        <v>583</v>
      </c>
      <c r="C151" s="318" t="s">
        <v>889</v>
      </c>
      <c r="D151" s="318">
        <v>12</v>
      </c>
      <c r="E151" s="500">
        <v>18.3</v>
      </c>
      <c r="F151" s="462">
        <f t="shared" si="5"/>
        <v>219.60000000000002</v>
      </c>
    </row>
    <row r="152" spans="1:6" ht="31.5">
      <c r="A152" s="255">
        <f t="shared" si="6"/>
        <v>30</v>
      </c>
      <c r="B152" s="1233" t="s">
        <v>575</v>
      </c>
      <c r="C152" s="318" t="s">
        <v>889</v>
      </c>
      <c r="D152" s="318">
        <v>10</v>
      </c>
      <c r="E152" s="500">
        <v>6</v>
      </c>
      <c r="F152" s="462">
        <f t="shared" si="5"/>
        <v>60</v>
      </c>
    </row>
    <row r="153" spans="1:6" ht="15.75">
      <c r="A153" s="255">
        <f t="shared" si="6"/>
        <v>31</v>
      </c>
      <c r="B153" s="1233" t="s">
        <v>582</v>
      </c>
      <c r="C153" s="318" t="s">
        <v>889</v>
      </c>
      <c r="D153" s="318">
        <v>10</v>
      </c>
      <c r="E153" s="500">
        <v>12</v>
      </c>
      <c r="F153" s="462">
        <f t="shared" si="5"/>
        <v>120</v>
      </c>
    </row>
    <row r="154" spans="1:6" ht="15.75">
      <c r="A154" s="255">
        <f t="shared" si="6"/>
        <v>32</v>
      </c>
      <c r="B154" s="1233" t="s">
        <v>581</v>
      </c>
      <c r="C154" s="318" t="s">
        <v>889</v>
      </c>
      <c r="D154" s="318">
        <v>100</v>
      </c>
      <c r="E154" s="500">
        <v>2.8</v>
      </c>
      <c r="F154" s="462">
        <f t="shared" si="5"/>
        <v>280</v>
      </c>
    </row>
    <row r="155" spans="1:6" ht="15.75">
      <c r="A155" s="255">
        <f t="shared" si="6"/>
        <v>33</v>
      </c>
      <c r="B155" s="1233" t="s">
        <v>576</v>
      </c>
      <c r="C155" s="318" t="s">
        <v>889</v>
      </c>
      <c r="D155" s="318">
        <v>5</v>
      </c>
      <c r="E155" s="500">
        <v>6.3</v>
      </c>
      <c r="F155" s="462">
        <f t="shared" si="5"/>
        <v>31.5</v>
      </c>
    </row>
    <row r="156" spans="1:6" ht="15.75">
      <c r="A156" s="255">
        <f t="shared" si="6"/>
        <v>34</v>
      </c>
      <c r="B156" s="1233" t="s">
        <v>578</v>
      </c>
      <c r="C156" s="318" t="s">
        <v>889</v>
      </c>
      <c r="D156" s="318">
        <v>1</v>
      </c>
      <c r="E156" s="500">
        <v>186.7</v>
      </c>
      <c r="F156" s="462">
        <f t="shared" si="5"/>
        <v>186.7</v>
      </c>
    </row>
    <row r="157" spans="1:6" ht="15.75" customHeight="1">
      <c r="A157" s="255">
        <f t="shared" si="6"/>
        <v>35</v>
      </c>
      <c r="B157" s="1233" t="s">
        <v>580</v>
      </c>
      <c r="C157" s="318" t="s">
        <v>889</v>
      </c>
      <c r="D157" s="318">
        <v>6</v>
      </c>
      <c r="E157" s="500">
        <v>10.3</v>
      </c>
      <c r="F157" s="462">
        <f t="shared" si="5"/>
        <v>61.800000000000004</v>
      </c>
    </row>
    <row r="158" spans="1:6" ht="31.5">
      <c r="A158" s="255">
        <f t="shared" si="6"/>
        <v>36</v>
      </c>
      <c r="B158" s="1233" t="s">
        <v>577</v>
      </c>
      <c r="C158" s="318" t="s">
        <v>889</v>
      </c>
      <c r="D158" s="318">
        <v>13</v>
      </c>
      <c r="E158" s="500">
        <v>25.6</v>
      </c>
      <c r="F158" s="462">
        <f t="shared" si="5"/>
        <v>332.8</v>
      </c>
    </row>
    <row r="159" spans="1:6" ht="15.75">
      <c r="A159" s="255">
        <f t="shared" si="6"/>
        <v>37</v>
      </c>
      <c r="B159" s="1233" t="s">
        <v>579</v>
      </c>
      <c r="C159" s="318" t="s">
        <v>889</v>
      </c>
      <c r="D159" s="318">
        <v>15</v>
      </c>
      <c r="E159" s="500">
        <v>40.700000000000003</v>
      </c>
      <c r="F159" s="462">
        <f t="shared" si="5"/>
        <v>610.5</v>
      </c>
    </row>
    <row r="160" spans="1:6" ht="15.75">
      <c r="A160" s="255"/>
      <c r="B160" s="1871" t="s">
        <v>610</v>
      </c>
      <c r="C160" s="1879"/>
      <c r="D160" s="1879"/>
      <c r="E160" s="1880"/>
      <c r="F160" s="1321">
        <f>SUM(F161:F184)</f>
        <v>79138.31</v>
      </c>
    </row>
    <row r="161" spans="1:6" ht="15.75">
      <c r="A161" s="255">
        <f t="shared" si="6"/>
        <v>1</v>
      </c>
      <c r="B161" s="257" t="s">
        <v>611</v>
      </c>
      <c r="C161" s="147" t="s">
        <v>889</v>
      </c>
      <c r="D161" s="147">
        <v>1</v>
      </c>
      <c r="E161" s="247">
        <v>1667</v>
      </c>
      <c r="F161" s="462">
        <f t="shared" ref="F161:F187" si="7">E161*D161</f>
        <v>1667</v>
      </c>
    </row>
    <row r="162" spans="1:6" ht="15.75">
      <c r="A162" s="255">
        <f t="shared" si="6"/>
        <v>2</v>
      </c>
      <c r="B162" s="257" t="s">
        <v>612</v>
      </c>
      <c r="C162" s="147" t="s">
        <v>889</v>
      </c>
      <c r="D162" s="147">
        <v>1</v>
      </c>
      <c r="E162" s="247">
        <v>5170</v>
      </c>
      <c r="F162" s="462">
        <f t="shared" si="7"/>
        <v>5170</v>
      </c>
    </row>
    <row r="163" spans="1:6" ht="15.75">
      <c r="A163" s="255">
        <f t="shared" si="6"/>
        <v>3</v>
      </c>
      <c r="B163" s="257" t="s">
        <v>613</v>
      </c>
      <c r="C163" s="147" t="s">
        <v>889</v>
      </c>
      <c r="D163" s="147">
        <v>1</v>
      </c>
      <c r="E163" s="247">
        <v>7897</v>
      </c>
      <c r="F163" s="462">
        <f t="shared" si="7"/>
        <v>7897</v>
      </c>
    </row>
    <row r="164" spans="1:6" ht="31.5">
      <c r="A164" s="255">
        <f t="shared" si="6"/>
        <v>4</v>
      </c>
      <c r="B164" s="257" t="s">
        <v>614</v>
      </c>
      <c r="C164" s="147" t="s">
        <v>889</v>
      </c>
      <c r="D164" s="246">
        <v>1</v>
      </c>
      <c r="E164" s="247">
        <v>2834.34</v>
      </c>
      <c r="F164" s="462">
        <f t="shared" si="7"/>
        <v>2834.34</v>
      </c>
    </row>
    <row r="165" spans="1:6" ht="15.75">
      <c r="A165" s="255">
        <f t="shared" si="6"/>
        <v>5</v>
      </c>
      <c r="B165" s="257" t="s">
        <v>615</v>
      </c>
      <c r="C165" s="147" t="s">
        <v>889</v>
      </c>
      <c r="D165" s="147">
        <v>2</v>
      </c>
      <c r="E165" s="247">
        <v>183</v>
      </c>
      <c r="F165" s="462">
        <f t="shared" si="7"/>
        <v>366</v>
      </c>
    </row>
    <row r="166" spans="1:6" ht="15.75" customHeight="1">
      <c r="A166" s="255">
        <f t="shared" si="6"/>
        <v>6</v>
      </c>
      <c r="B166" s="257" t="s">
        <v>616</v>
      </c>
      <c r="C166" s="147" t="s">
        <v>889</v>
      </c>
      <c r="D166" s="147">
        <v>2</v>
      </c>
      <c r="E166" s="247">
        <v>187</v>
      </c>
      <c r="F166" s="462">
        <f t="shared" si="7"/>
        <v>374</v>
      </c>
    </row>
    <row r="167" spans="1:6" ht="16.5" customHeight="1">
      <c r="A167" s="255">
        <f t="shared" si="6"/>
        <v>7</v>
      </c>
      <c r="B167" s="257" t="s">
        <v>617</v>
      </c>
      <c r="C167" s="147" t="s">
        <v>889</v>
      </c>
      <c r="D167" s="147">
        <v>1</v>
      </c>
      <c r="E167" s="247">
        <v>14615</v>
      </c>
      <c r="F167" s="462">
        <f t="shared" si="7"/>
        <v>14615</v>
      </c>
    </row>
    <row r="168" spans="1:6" ht="31.5">
      <c r="A168" s="255">
        <f t="shared" si="6"/>
        <v>8</v>
      </c>
      <c r="B168" s="257" t="s">
        <v>618</v>
      </c>
      <c r="C168" s="147" t="s">
        <v>889</v>
      </c>
      <c r="D168" s="246">
        <v>1</v>
      </c>
      <c r="E168" s="247">
        <v>11000</v>
      </c>
      <c r="F168" s="462">
        <f t="shared" si="7"/>
        <v>11000</v>
      </c>
    </row>
    <row r="169" spans="1:6" ht="18.75" customHeight="1">
      <c r="A169" s="255">
        <f t="shared" si="6"/>
        <v>9</v>
      </c>
      <c r="B169" s="169" t="s">
        <v>619</v>
      </c>
      <c r="C169" s="147" t="s">
        <v>889</v>
      </c>
      <c r="D169" s="147">
        <v>1</v>
      </c>
      <c r="E169" s="247">
        <v>1425</v>
      </c>
      <c r="F169" s="462">
        <f t="shared" si="7"/>
        <v>1425</v>
      </c>
    </row>
    <row r="170" spans="1:6" ht="22.5" customHeight="1">
      <c r="A170" s="255">
        <f t="shared" si="6"/>
        <v>10</v>
      </c>
      <c r="B170" s="169" t="s">
        <v>620</v>
      </c>
      <c r="C170" s="147" t="s">
        <v>889</v>
      </c>
      <c r="D170" s="246">
        <v>1</v>
      </c>
      <c r="E170" s="247">
        <v>1425</v>
      </c>
      <c r="F170" s="462">
        <f t="shared" si="7"/>
        <v>1425</v>
      </c>
    </row>
    <row r="171" spans="1:6" ht="15.75">
      <c r="A171" s="255">
        <f t="shared" si="6"/>
        <v>11</v>
      </c>
      <c r="B171" s="257" t="s">
        <v>621</v>
      </c>
      <c r="C171" s="147" t="s">
        <v>889</v>
      </c>
      <c r="D171" s="147">
        <v>4</v>
      </c>
      <c r="E171" s="247">
        <v>1650</v>
      </c>
      <c r="F171" s="462">
        <f t="shared" si="7"/>
        <v>6600</v>
      </c>
    </row>
    <row r="172" spans="1:6" ht="15.75">
      <c r="A172" s="255">
        <f t="shared" si="6"/>
        <v>12</v>
      </c>
      <c r="B172" s="257" t="s">
        <v>622</v>
      </c>
      <c r="C172" s="147" t="s">
        <v>889</v>
      </c>
      <c r="D172" s="147">
        <v>2</v>
      </c>
      <c r="E172" s="247">
        <v>559</v>
      </c>
      <c r="F172" s="462">
        <f t="shared" si="7"/>
        <v>1118</v>
      </c>
    </row>
    <row r="173" spans="1:6" ht="18" customHeight="1">
      <c r="A173" s="255">
        <f t="shared" si="6"/>
        <v>13</v>
      </c>
      <c r="B173" s="257" t="s">
        <v>623</v>
      </c>
      <c r="C173" s="147" t="s">
        <v>889</v>
      </c>
      <c r="D173" s="147">
        <v>4</v>
      </c>
      <c r="E173" s="247">
        <v>112</v>
      </c>
      <c r="F173" s="462">
        <f t="shared" si="7"/>
        <v>448</v>
      </c>
    </row>
    <row r="174" spans="1:6" ht="15.75">
      <c r="A174" s="255">
        <f t="shared" si="6"/>
        <v>14</v>
      </c>
      <c r="B174" s="257" t="s">
        <v>624</v>
      </c>
      <c r="C174" s="147" t="s">
        <v>889</v>
      </c>
      <c r="D174" s="147">
        <v>2</v>
      </c>
      <c r="E174" s="247">
        <v>171</v>
      </c>
      <c r="F174" s="462">
        <f t="shared" si="7"/>
        <v>342</v>
      </c>
    </row>
    <row r="175" spans="1:6" ht="15.75">
      <c r="A175" s="255">
        <f t="shared" si="6"/>
        <v>15</v>
      </c>
      <c r="B175" s="257" t="s">
        <v>625</v>
      </c>
      <c r="C175" s="147" t="s">
        <v>889</v>
      </c>
      <c r="D175" s="147">
        <v>2</v>
      </c>
      <c r="E175" s="247">
        <v>554</v>
      </c>
      <c r="F175" s="462">
        <f t="shared" si="7"/>
        <v>1108</v>
      </c>
    </row>
    <row r="176" spans="1:6" ht="20.25" customHeight="1">
      <c r="A176" s="255">
        <f t="shared" si="6"/>
        <v>16</v>
      </c>
      <c r="B176" s="257" t="s">
        <v>626</v>
      </c>
      <c r="C176" s="147" t="s">
        <v>889</v>
      </c>
      <c r="D176" s="147">
        <v>4</v>
      </c>
      <c r="E176" s="247">
        <v>25</v>
      </c>
      <c r="F176" s="462">
        <f t="shared" si="7"/>
        <v>100</v>
      </c>
    </row>
    <row r="177" spans="1:6" ht="15.75">
      <c r="A177" s="255">
        <f t="shared" si="6"/>
        <v>17</v>
      </c>
      <c r="B177" s="257" t="s">
        <v>627</v>
      </c>
      <c r="C177" s="147" t="s">
        <v>889</v>
      </c>
      <c r="D177" s="147">
        <v>1</v>
      </c>
      <c r="E177" s="1343">
        <v>12071.97</v>
      </c>
      <c r="F177" s="462">
        <f t="shared" si="7"/>
        <v>12071.97</v>
      </c>
    </row>
    <row r="178" spans="1:6" ht="15.75">
      <c r="A178" s="255">
        <f t="shared" si="6"/>
        <v>18</v>
      </c>
      <c r="B178" s="257" t="s">
        <v>628</v>
      </c>
      <c r="C178" s="147" t="s">
        <v>889</v>
      </c>
      <c r="D178" s="147">
        <v>24</v>
      </c>
      <c r="E178" s="247">
        <v>110</v>
      </c>
      <c r="F178" s="462">
        <f t="shared" si="7"/>
        <v>2640</v>
      </c>
    </row>
    <row r="179" spans="1:6" ht="19.5" customHeight="1">
      <c r="A179" s="255">
        <f t="shared" si="6"/>
        <v>19</v>
      </c>
      <c r="B179" s="257" t="s">
        <v>629</v>
      </c>
      <c r="C179" s="147" t="s">
        <v>889</v>
      </c>
      <c r="D179" s="147">
        <v>1</v>
      </c>
      <c r="E179" s="247">
        <v>1143</v>
      </c>
      <c r="F179" s="462">
        <f t="shared" si="7"/>
        <v>1143</v>
      </c>
    </row>
    <row r="180" spans="1:6" ht="15.75">
      <c r="A180" s="255">
        <f t="shared" si="6"/>
        <v>20</v>
      </c>
      <c r="B180" s="257" t="s">
        <v>630</v>
      </c>
      <c r="C180" s="147" t="s">
        <v>889</v>
      </c>
      <c r="D180" s="147">
        <v>10</v>
      </c>
      <c r="E180" s="247">
        <v>328</v>
      </c>
      <c r="F180" s="462">
        <f t="shared" si="7"/>
        <v>3280</v>
      </c>
    </row>
    <row r="181" spans="1:6" ht="15.75">
      <c r="A181" s="255">
        <f t="shared" si="6"/>
        <v>21</v>
      </c>
      <c r="B181" s="257" t="s">
        <v>631</v>
      </c>
      <c r="C181" s="147" t="s">
        <v>889</v>
      </c>
      <c r="D181" s="147">
        <v>10</v>
      </c>
      <c r="E181" s="247">
        <v>14</v>
      </c>
      <c r="F181" s="462">
        <f t="shared" si="7"/>
        <v>140</v>
      </c>
    </row>
    <row r="182" spans="1:6" ht="18.75" customHeight="1">
      <c r="A182" s="255">
        <f t="shared" si="6"/>
        <v>22</v>
      </c>
      <c r="B182" s="257" t="s">
        <v>632</v>
      </c>
      <c r="C182" s="147" t="s">
        <v>889</v>
      </c>
      <c r="D182" s="147">
        <v>2</v>
      </c>
      <c r="E182" s="247">
        <v>580</v>
      </c>
      <c r="F182" s="462">
        <f t="shared" si="7"/>
        <v>1160</v>
      </c>
    </row>
    <row r="183" spans="1:6" ht="16.5" customHeight="1">
      <c r="A183" s="255">
        <f t="shared" si="6"/>
        <v>23</v>
      </c>
      <c r="B183" s="257" t="s">
        <v>633</v>
      </c>
      <c r="C183" s="147" t="s">
        <v>889</v>
      </c>
      <c r="D183" s="246">
        <v>2</v>
      </c>
      <c r="E183" s="247">
        <v>1020</v>
      </c>
      <c r="F183" s="462">
        <f t="shared" si="7"/>
        <v>2040</v>
      </c>
    </row>
    <row r="184" spans="1:6" ht="15.75">
      <c r="A184" s="255">
        <f t="shared" si="6"/>
        <v>24</v>
      </c>
      <c r="B184" s="257" t="s">
        <v>634</v>
      </c>
      <c r="C184" s="147" t="s">
        <v>889</v>
      </c>
      <c r="D184" s="147">
        <v>2</v>
      </c>
      <c r="E184" s="247">
        <v>87</v>
      </c>
      <c r="F184" s="462">
        <f t="shared" si="7"/>
        <v>174</v>
      </c>
    </row>
    <row r="185" spans="1:6" ht="18.75" customHeight="1">
      <c r="A185" s="255"/>
      <c r="B185" s="1871" t="s">
        <v>883</v>
      </c>
      <c r="C185" s="1482"/>
      <c r="D185" s="1482"/>
      <c r="E185" s="1872"/>
      <c r="F185" s="1321">
        <f>SUM(F186:F198)</f>
        <v>56218</v>
      </c>
    </row>
    <row r="186" spans="1:6" ht="15.75">
      <c r="A186" s="255">
        <f t="shared" si="6"/>
        <v>1</v>
      </c>
      <c r="B186" s="257" t="s">
        <v>635</v>
      </c>
      <c r="C186" s="147" t="s">
        <v>889</v>
      </c>
      <c r="D186" s="147">
        <v>60</v>
      </c>
      <c r="E186" s="247">
        <v>214</v>
      </c>
      <c r="F186" s="462">
        <f t="shared" si="7"/>
        <v>12840</v>
      </c>
    </row>
    <row r="187" spans="1:6" ht="15.75">
      <c r="A187" s="255">
        <f t="shared" si="6"/>
        <v>2</v>
      </c>
      <c r="B187" s="257" t="s">
        <v>636</v>
      </c>
      <c r="C187" s="147" t="s">
        <v>889</v>
      </c>
      <c r="D187" s="147">
        <v>50</v>
      </c>
      <c r="E187" s="247">
        <v>32</v>
      </c>
      <c r="F187" s="462">
        <f t="shared" si="7"/>
        <v>1600</v>
      </c>
    </row>
    <row r="188" spans="1:6" ht="20.25" customHeight="1">
      <c r="A188" s="255">
        <f t="shared" si="6"/>
        <v>3</v>
      </c>
      <c r="B188" s="257" t="s">
        <v>637</v>
      </c>
      <c r="C188" s="147" t="s">
        <v>889</v>
      </c>
      <c r="D188" s="147">
        <v>50</v>
      </c>
      <c r="E188" s="247">
        <v>66</v>
      </c>
      <c r="F188" s="462">
        <f t="shared" ref="F188:F198" si="8">E188*D188</f>
        <v>3300</v>
      </c>
    </row>
    <row r="189" spans="1:6" ht="21.75" customHeight="1">
      <c r="A189" s="255">
        <f t="shared" si="6"/>
        <v>4</v>
      </c>
      <c r="B189" s="257" t="s">
        <v>638</v>
      </c>
      <c r="C189" s="147" t="s">
        <v>889</v>
      </c>
      <c r="D189" s="147">
        <v>20</v>
      </c>
      <c r="E189" s="247">
        <v>145</v>
      </c>
      <c r="F189" s="462">
        <f t="shared" si="8"/>
        <v>2900</v>
      </c>
    </row>
    <row r="190" spans="1:6" ht="20.25" customHeight="1">
      <c r="A190" s="255">
        <f t="shared" si="6"/>
        <v>5</v>
      </c>
      <c r="B190" s="257" t="s">
        <v>639</v>
      </c>
      <c r="C190" s="147" t="s">
        <v>889</v>
      </c>
      <c r="D190" s="147">
        <v>400</v>
      </c>
      <c r="E190" s="247">
        <v>15</v>
      </c>
      <c r="F190" s="462">
        <f t="shared" si="8"/>
        <v>6000</v>
      </c>
    </row>
    <row r="191" spans="1:6" ht="31.5">
      <c r="A191" s="255">
        <f t="shared" si="6"/>
        <v>6</v>
      </c>
      <c r="B191" s="257" t="s">
        <v>640</v>
      </c>
      <c r="C191" s="147" t="s">
        <v>889</v>
      </c>
      <c r="D191" s="246">
        <v>80</v>
      </c>
      <c r="E191" s="247">
        <v>25</v>
      </c>
      <c r="F191" s="462">
        <f t="shared" si="8"/>
        <v>2000</v>
      </c>
    </row>
    <row r="192" spans="1:6" ht="31.5" customHeight="1">
      <c r="A192" s="255">
        <f t="shared" si="6"/>
        <v>7</v>
      </c>
      <c r="B192" s="169" t="s">
        <v>641</v>
      </c>
      <c r="C192" s="147" t="s">
        <v>889</v>
      </c>
      <c r="D192" s="246">
        <v>40</v>
      </c>
      <c r="E192" s="247">
        <v>66</v>
      </c>
      <c r="F192" s="462">
        <f t="shared" si="8"/>
        <v>2640</v>
      </c>
    </row>
    <row r="193" spans="1:6" ht="31.5">
      <c r="A193" s="255">
        <f t="shared" si="6"/>
        <v>8</v>
      </c>
      <c r="B193" s="169" t="s">
        <v>645</v>
      </c>
      <c r="C193" s="147" t="s">
        <v>889</v>
      </c>
      <c r="D193" s="246">
        <v>60</v>
      </c>
      <c r="E193" s="247">
        <v>62</v>
      </c>
      <c r="F193" s="462">
        <f t="shared" si="8"/>
        <v>3720</v>
      </c>
    </row>
    <row r="194" spans="1:6" ht="15.75">
      <c r="A194" s="255">
        <f t="shared" si="6"/>
        <v>9</v>
      </c>
      <c r="B194" s="257" t="s">
        <v>642</v>
      </c>
      <c r="C194" s="147" t="s">
        <v>889</v>
      </c>
      <c r="D194" s="147">
        <v>100</v>
      </c>
      <c r="E194" s="247">
        <v>32</v>
      </c>
      <c r="F194" s="462">
        <f t="shared" si="8"/>
        <v>3200</v>
      </c>
    </row>
    <row r="195" spans="1:6" ht="18" customHeight="1">
      <c r="A195" s="255">
        <f t="shared" si="6"/>
        <v>10</v>
      </c>
      <c r="B195" s="257" t="s">
        <v>644</v>
      </c>
      <c r="C195" s="147" t="s">
        <v>889</v>
      </c>
      <c r="D195" s="246">
        <v>10</v>
      </c>
      <c r="E195" s="247">
        <v>1338</v>
      </c>
      <c r="F195" s="462">
        <f t="shared" si="8"/>
        <v>13380</v>
      </c>
    </row>
    <row r="196" spans="1:6" ht="15.75">
      <c r="A196" s="255">
        <f t="shared" si="6"/>
        <v>11</v>
      </c>
      <c r="B196" s="257" t="s">
        <v>643</v>
      </c>
      <c r="C196" s="147" t="s">
        <v>889</v>
      </c>
      <c r="D196" s="147">
        <v>16</v>
      </c>
      <c r="E196" s="247">
        <v>43</v>
      </c>
      <c r="F196" s="462">
        <f t="shared" si="8"/>
        <v>688</v>
      </c>
    </row>
    <row r="197" spans="1:6" ht="15.75">
      <c r="A197" s="255">
        <f t="shared" si="6"/>
        <v>12</v>
      </c>
      <c r="B197" s="257" t="s">
        <v>646</v>
      </c>
      <c r="C197" s="147" t="s">
        <v>889</v>
      </c>
      <c r="D197" s="147">
        <v>10</v>
      </c>
      <c r="E197" s="247">
        <v>90</v>
      </c>
      <c r="F197" s="462">
        <f t="shared" si="8"/>
        <v>900</v>
      </c>
    </row>
    <row r="198" spans="1:6" ht="21" customHeight="1">
      <c r="A198" s="255">
        <f t="shared" si="6"/>
        <v>13</v>
      </c>
      <c r="B198" s="257" t="s">
        <v>647</v>
      </c>
      <c r="C198" s="147" t="s">
        <v>889</v>
      </c>
      <c r="D198" s="147">
        <v>10</v>
      </c>
      <c r="E198" s="247">
        <v>305</v>
      </c>
      <c r="F198" s="462">
        <f t="shared" si="8"/>
        <v>3050</v>
      </c>
    </row>
    <row r="199" spans="1:6" ht="15.75" hidden="1">
      <c r="A199" s="255"/>
      <c r="B199" s="1871" t="s">
        <v>662</v>
      </c>
      <c r="C199" s="1482"/>
      <c r="D199" s="1482"/>
      <c r="E199" s="1872"/>
      <c r="F199" s="1321">
        <f>SUM(F200:F212)</f>
        <v>0</v>
      </c>
    </row>
    <row r="200" spans="1:6" ht="47.25" hidden="1">
      <c r="A200" s="255">
        <f t="shared" si="6"/>
        <v>1</v>
      </c>
      <c r="B200" s="1235" t="s">
        <v>648</v>
      </c>
      <c r="C200" s="368" t="s">
        <v>889</v>
      </c>
      <c r="D200" s="368">
        <v>0</v>
      </c>
      <c r="E200" s="1236">
        <v>154</v>
      </c>
      <c r="F200" s="462">
        <f t="shared" ref="F200:F212" si="9">E200*D200</f>
        <v>0</v>
      </c>
    </row>
    <row r="201" spans="1:6" ht="31.5" hidden="1">
      <c r="A201" s="255">
        <f t="shared" si="6"/>
        <v>2</v>
      </c>
      <c r="B201" s="552" t="s">
        <v>653</v>
      </c>
      <c r="C201" s="368" t="s">
        <v>889</v>
      </c>
      <c r="D201" s="368">
        <v>0</v>
      </c>
      <c r="E201" s="1236">
        <v>517</v>
      </c>
      <c r="F201" s="462">
        <f t="shared" si="9"/>
        <v>0</v>
      </c>
    </row>
    <row r="202" spans="1:6" ht="15.75" hidden="1">
      <c r="A202" s="255">
        <f t="shared" ref="A202:A212" si="10">A201+1</f>
        <v>3</v>
      </c>
      <c r="B202" s="1235" t="s">
        <v>654</v>
      </c>
      <c r="C202" s="368" t="s">
        <v>889</v>
      </c>
      <c r="D202" s="368">
        <v>0</v>
      </c>
      <c r="E202" s="1236">
        <v>89</v>
      </c>
      <c r="F202" s="462">
        <f t="shared" si="9"/>
        <v>0</v>
      </c>
    </row>
    <row r="203" spans="1:6" ht="31.5" hidden="1">
      <c r="A203" s="255">
        <f t="shared" si="10"/>
        <v>4</v>
      </c>
      <c r="B203" s="552" t="s">
        <v>649</v>
      </c>
      <c r="C203" s="368" t="s">
        <v>889</v>
      </c>
      <c r="D203" s="368">
        <v>0</v>
      </c>
      <c r="E203" s="1236">
        <v>125</v>
      </c>
      <c r="F203" s="462">
        <f t="shared" si="9"/>
        <v>0</v>
      </c>
    </row>
    <row r="204" spans="1:6" ht="15.75" hidden="1">
      <c r="A204" s="255">
        <f t="shared" si="10"/>
        <v>5</v>
      </c>
      <c r="B204" s="552" t="s">
        <v>650</v>
      </c>
      <c r="C204" s="368" t="s">
        <v>889</v>
      </c>
      <c r="D204" s="368">
        <v>0</v>
      </c>
      <c r="E204" s="1236">
        <v>145</v>
      </c>
      <c r="F204" s="462">
        <f t="shared" si="9"/>
        <v>0</v>
      </c>
    </row>
    <row r="205" spans="1:6" ht="15.75" hidden="1">
      <c r="A205" s="255">
        <f t="shared" si="10"/>
        <v>6</v>
      </c>
      <c r="B205" s="552" t="s">
        <v>655</v>
      </c>
      <c r="C205" s="368" t="s">
        <v>889</v>
      </c>
      <c r="D205" s="368">
        <v>0</v>
      </c>
      <c r="E205" s="1236">
        <v>166</v>
      </c>
      <c r="F205" s="462">
        <f t="shared" si="9"/>
        <v>0</v>
      </c>
    </row>
    <row r="206" spans="1:6" ht="15.75" hidden="1">
      <c r="A206" s="255">
        <f t="shared" si="10"/>
        <v>7</v>
      </c>
      <c r="B206" s="552" t="s">
        <v>656</v>
      </c>
      <c r="C206" s="368" t="s">
        <v>889</v>
      </c>
      <c r="D206" s="368">
        <v>0</v>
      </c>
      <c r="E206" s="1236">
        <v>165</v>
      </c>
      <c r="F206" s="462">
        <f t="shared" si="9"/>
        <v>0</v>
      </c>
    </row>
    <row r="207" spans="1:6" ht="31.5" hidden="1">
      <c r="A207" s="255">
        <f t="shared" si="10"/>
        <v>8</v>
      </c>
      <c r="B207" s="552" t="s">
        <v>657</v>
      </c>
      <c r="C207" s="1237" t="s">
        <v>889</v>
      </c>
      <c r="D207" s="368">
        <v>0</v>
      </c>
      <c r="E207" s="1236">
        <v>32</v>
      </c>
      <c r="F207" s="462">
        <f t="shared" si="9"/>
        <v>0</v>
      </c>
    </row>
    <row r="208" spans="1:6" ht="31.5" hidden="1">
      <c r="A208" s="255">
        <f t="shared" si="10"/>
        <v>9</v>
      </c>
      <c r="B208" s="552" t="s">
        <v>658</v>
      </c>
      <c r="C208" s="1237" t="s">
        <v>889</v>
      </c>
      <c r="D208" s="368">
        <v>0</v>
      </c>
      <c r="E208" s="1236">
        <v>61</v>
      </c>
      <c r="F208" s="462">
        <f t="shared" si="9"/>
        <v>0</v>
      </c>
    </row>
    <row r="209" spans="1:6" ht="31.5" hidden="1">
      <c r="A209" s="255">
        <f t="shared" si="10"/>
        <v>10</v>
      </c>
      <c r="B209" s="231" t="s">
        <v>651</v>
      </c>
      <c r="C209" s="368" t="s">
        <v>889</v>
      </c>
      <c r="D209" s="368">
        <v>0</v>
      </c>
      <c r="E209" s="1236">
        <v>16</v>
      </c>
      <c r="F209" s="462">
        <f t="shared" si="9"/>
        <v>0</v>
      </c>
    </row>
    <row r="210" spans="1:6" ht="31.5" hidden="1">
      <c r="A210" s="255">
        <f t="shared" si="10"/>
        <v>11</v>
      </c>
      <c r="B210" s="1238" t="s">
        <v>659</v>
      </c>
      <c r="C210" s="368" t="s">
        <v>889</v>
      </c>
      <c r="D210" s="368">
        <v>0</v>
      </c>
      <c r="E210" s="1236">
        <v>24</v>
      </c>
      <c r="F210" s="462">
        <f t="shared" si="9"/>
        <v>0</v>
      </c>
    </row>
    <row r="211" spans="1:6" ht="31.5" hidden="1">
      <c r="A211" s="255">
        <f t="shared" si="10"/>
        <v>12</v>
      </c>
      <c r="B211" s="552" t="s">
        <v>660</v>
      </c>
      <c r="C211" s="1237" t="s">
        <v>889</v>
      </c>
      <c r="D211" s="368">
        <v>0</v>
      </c>
      <c r="E211" s="1236">
        <v>25</v>
      </c>
      <c r="F211" s="462">
        <f t="shared" si="9"/>
        <v>0</v>
      </c>
    </row>
    <row r="212" spans="1:6" ht="31.5" hidden="1">
      <c r="A212" s="255">
        <f t="shared" si="10"/>
        <v>13</v>
      </c>
      <c r="B212" s="552" t="s">
        <v>661</v>
      </c>
      <c r="C212" s="1237" t="s">
        <v>652</v>
      </c>
      <c r="D212" s="368">
        <v>0</v>
      </c>
      <c r="E212" s="1236">
        <v>66</v>
      </c>
      <c r="F212" s="462">
        <f t="shared" si="9"/>
        <v>0</v>
      </c>
    </row>
    <row r="213" spans="1:6" ht="15.75">
      <c r="A213" s="255"/>
      <c r="B213" s="1871" t="s">
        <v>884</v>
      </c>
      <c r="C213" s="1482"/>
      <c r="D213" s="1482"/>
      <c r="E213" s="1872"/>
      <c r="F213" s="1321">
        <f>SUM(F214:F215)</f>
        <v>23670</v>
      </c>
    </row>
    <row r="214" spans="1:6" ht="31.5" customHeight="1">
      <c r="A214" s="255">
        <v>1</v>
      </c>
      <c r="B214" s="257" t="s">
        <v>663</v>
      </c>
      <c r="C214" s="147" t="s">
        <v>1135</v>
      </c>
      <c r="D214" s="147">
        <v>10</v>
      </c>
      <c r="E214" s="247">
        <v>219</v>
      </c>
      <c r="F214" s="462">
        <f t="shared" ref="F214:F237" si="11">E214*D214</f>
        <v>2190</v>
      </c>
    </row>
    <row r="215" spans="1:6" ht="31.5">
      <c r="A215" s="255">
        <f t="shared" ref="A215:A229" si="12">A214+1</f>
        <v>2</v>
      </c>
      <c r="B215" s="169" t="s">
        <v>664</v>
      </c>
      <c r="C215" s="147" t="s">
        <v>1135</v>
      </c>
      <c r="D215" s="147">
        <v>10</v>
      </c>
      <c r="E215" s="247">
        <v>2148</v>
      </c>
      <c r="F215" s="462">
        <f t="shared" si="11"/>
        <v>21480</v>
      </c>
    </row>
    <row r="216" spans="1:6" ht="15.75" hidden="1">
      <c r="A216" s="255"/>
      <c r="B216" s="1865"/>
      <c r="C216" s="1473"/>
      <c r="D216" s="1473"/>
      <c r="E216" s="1866"/>
      <c r="F216" s="1321"/>
    </row>
    <row r="217" spans="1:6" ht="15.75" hidden="1">
      <c r="A217" s="1239"/>
      <c r="B217" s="231"/>
      <c r="C217" s="114"/>
      <c r="D217" s="229"/>
      <c r="E217" s="1240"/>
      <c r="F217" s="462"/>
    </row>
    <row r="218" spans="1:6" ht="15.75" hidden="1">
      <c r="A218" s="1239"/>
      <c r="B218" s="115"/>
      <c r="C218" s="114"/>
      <c r="D218" s="229"/>
      <c r="E218" s="1240"/>
      <c r="F218" s="462"/>
    </row>
    <row r="219" spans="1:6" ht="15.75" hidden="1">
      <c r="A219" s="1239"/>
      <c r="B219" s="115"/>
      <c r="C219" s="114"/>
      <c r="D219" s="229"/>
      <c r="E219" s="1240"/>
      <c r="F219" s="462"/>
    </row>
    <row r="220" spans="1:6" ht="15.75" hidden="1">
      <c r="A220" s="1239"/>
      <c r="B220" s="115"/>
      <c r="C220" s="114"/>
      <c r="D220" s="229"/>
      <c r="E220" s="1240"/>
      <c r="F220" s="462"/>
    </row>
    <row r="221" spans="1:6" ht="15.75" hidden="1">
      <c r="A221" s="1239"/>
      <c r="B221" s="115"/>
      <c r="C221" s="114"/>
      <c r="D221" s="229"/>
      <c r="E221" s="1240"/>
      <c r="F221" s="462"/>
    </row>
    <row r="222" spans="1:6" ht="15.75" hidden="1">
      <c r="A222" s="1239"/>
      <c r="B222" s="115"/>
      <c r="C222" s="114"/>
      <c r="D222" s="229"/>
      <c r="E222" s="1240"/>
      <c r="F222" s="462"/>
    </row>
    <row r="223" spans="1:6" ht="15.75">
      <c r="A223" s="255"/>
      <c r="B223" s="1871" t="s">
        <v>1947</v>
      </c>
      <c r="C223" s="1482"/>
      <c r="D223" s="1482"/>
      <c r="E223" s="1872"/>
      <c r="F223" s="1321">
        <f>SUM(F224:F229)</f>
        <v>24248</v>
      </c>
    </row>
    <row r="224" spans="1:6" ht="15.75">
      <c r="A224" s="255">
        <f t="shared" si="12"/>
        <v>1</v>
      </c>
      <c r="B224" s="257" t="s">
        <v>672</v>
      </c>
      <c r="C224" s="114" t="s">
        <v>1135</v>
      </c>
      <c r="D224" s="335">
        <v>2</v>
      </c>
      <c r="E224" s="1241">
        <v>1778</v>
      </c>
      <c r="F224" s="462">
        <f t="shared" si="11"/>
        <v>3556</v>
      </c>
    </row>
    <row r="225" spans="1:6" ht="15.75">
      <c r="A225" s="255">
        <f t="shared" si="12"/>
        <v>2</v>
      </c>
      <c r="B225" s="257" t="s">
        <v>673</v>
      </c>
      <c r="C225" s="114" t="s">
        <v>1135</v>
      </c>
      <c r="D225" s="335">
        <v>6</v>
      </c>
      <c r="E225" s="1241">
        <v>1456</v>
      </c>
      <c r="F225" s="462">
        <f t="shared" si="11"/>
        <v>8736</v>
      </c>
    </row>
    <row r="226" spans="1:6" ht="15.75">
      <c r="A226" s="255">
        <f t="shared" si="12"/>
        <v>3</v>
      </c>
      <c r="B226" s="257" t="s">
        <v>674</v>
      </c>
      <c r="C226" s="114" t="s">
        <v>1135</v>
      </c>
      <c r="D226" s="335">
        <v>4</v>
      </c>
      <c r="E226" s="1241">
        <v>1589</v>
      </c>
      <c r="F226" s="462">
        <f t="shared" si="11"/>
        <v>6356</v>
      </c>
    </row>
    <row r="227" spans="1:6" ht="15.75">
      <c r="A227" s="255">
        <f t="shared" si="12"/>
        <v>4</v>
      </c>
      <c r="B227" s="257" t="s">
        <v>675</v>
      </c>
      <c r="C227" s="114" t="s">
        <v>1135</v>
      </c>
      <c r="D227" s="335">
        <v>2</v>
      </c>
      <c r="E227" s="1241">
        <v>800</v>
      </c>
      <c r="F227" s="462">
        <f t="shared" si="11"/>
        <v>1600</v>
      </c>
    </row>
    <row r="228" spans="1:6" ht="15.75">
      <c r="A228" s="255">
        <f t="shared" si="12"/>
        <v>5</v>
      </c>
      <c r="B228" s="257" t="s">
        <v>676</v>
      </c>
      <c r="C228" s="114" t="s">
        <v>1135</v>
      </c>
      <c r="D228" s="335">
        <v>2</v>
      </c>
      <c r="E228" s="1241">
        <v>1000</v>
      </c>
      <c r="F228" s="462">
        <f t="shared" si="11"/>
        <v>2000</v>
      </c>
    </row>
    <row r="229" spans="1:6" ht="15.75">
      <c r="A229" s="255">
        <f t="shared" si="12"/>
        <v>6</v>
      </c>
      <c r="B229" s="257" t="s">
        <v>677</v>
      </c>
      <c r="C229" s="114" t="s">
        <v>1135</v>
      </c>
      <c r="D229" s="335">
        <v>2</v>
      </c>
      <c r="E229" s="1241">
        <v>1000</v>
      </c>
      <c r="F229" s="462">
        <f t="shared" si="11"/>
        <v>2000</v>
      </c>
    </row>
    <row r="230" spans="1:6" ht="15.75" hidden="1">
      <c r="A230" s="255"/>
      <c r="B230" s="1871" t="s">
        <v>686</v>
      </c>
      <c r="C230" s="1482"/>
      <c r="D230" s="1482"/>
      <c r="E230" s="1872"/>
      <c r="F230" s="1321">
        <f>SUM(F231:F237)</f>
        <v>0</v>
      </c>
    </row>
    <row r="231" spans="1:6" ht="15.75" hidden="1">
      <c r="A231" s="255">
        <v>1</v>
      </c>
      <c r="B231" s="257" t="s">
        <v>678</v>
      </c>
      <c r="C231" s="147" t="s">
        <v>684</v>
      </c>
      <c r="D231" s="147">
        <v>0</v>
      </c>
      <c r="E231" s="247">
        <v>15.6</v>
      </c>
      <c r="F231" s="462">
        <f t="shared" si="11"/>
        <v>0</v>
      </c>
    </row>
    <row r="232" spans="1:6" ht="15.75" hidden="1">
      <c r="A232" s="255">
        <f t="shared" ref="A232:A237" si="13">A231+1</f>
        <v>2</v>
      </c>
      <c r="B232" s="257" t="s">
        <v>680</v>
      </c>
      <c r="C232" s="147" t="s">
        <v>889</v>
      </c>
      <c r="D232" s="147">
        <v>0</v>
      </c>
      <c r="E232" s="247">
        <v>260.39999999999998</v>
      </c>
      <c r="F232" s="462">
        <f t="shared" si="11"/>
        <v>0</v>
      </c>
    </row>
    <row r="233" spans="1:6" ht="15.75" hidden="1">
      <c r="A233" s="255">
        <f t="shared" si="13"/>
        <v>3</v>
      </c>
      <c r="B233" s="257" t="s">
        <v>679</v>
      </c>
      <c r="C233" s="147" t="s">
        <v>889</v>
      </c>
      <c r="D233" s="147">
        <v>0</v>
      </c>
      <c r="E233" s="247">
        <v>210</v>
      </c>
      <c r="F233" s="462">
        <f t="shared" si="11"/>
        <v>0</v>
      </c>
    </row>
    <row r="234" spans="1:6" ht="15.75" hidden="1">
      <c r="A234" s="255"/>
      <c r="B234" s="257" t="s">
        <v>685</v>
      </c>
      <c r="C234" s="147" t="s">
        <v>889</v>
      </c>
      <c r="D234" s="147">
        <v>0</v>
      </c>
      <c r="E234" s="247">
        <v>49.11</v>
      </c>
      <c r="F234" s="462">
        <f t="shared" si="11"/>
        <v>0</v>
      </c>
    </row>
    <row r="235" spans="1:6" ht="15.75" hidden="1">
      <c r="A235" s="255">
        <f>A233+1</f>
        <v>4</v>
      </c>
      <c r="B235" s="257" t="s">
        <v>681</v>
      </c>
      <c r="C235" s="147" t="s">
        <v>889</v>
      </c>
      <c r="D235" s="147">
        <v>0</v>
      </c>
      <c r="E235" s="247">
        <v>24.56</v>
      </c>
      <c r="F235" s="462">
        <f t="shared" si="11"/>
        <v>0</v>
      </c>
    </row>
    <row r="236" spans="1:6" ht="15.75" hidden="1">
      <c r="A236" s="255">
        <f t="shared" si="13"/>
        <v>5</v>
      </c>
      <c r="B236" s="257" t="s">
        <v>682</v>
      </c>
      <c r="C236" s="147" t="s">
        <v>889</v>
      </c>
      <c r="D236" s="147">
        <v>0</v>
      </c>
      <c r="E236" s="247">
        <v>53.44</v>
      </c>
      <c r="F236" s="462">
        <f t="shared" si="11"/>
        <v>0</v>
      </c>
    </row>
    <row r="237" spans="1:6" ht="31.5" hidden="1">
      <c r="A237" s="255">
        <f t="shared" si="13"/>
        <v>6</v>
      </c>
      <c r="B237" s="257" t="s">
        <v>683</v>
      </c>
      <c r="C237" s="147" t="s">
        <v>889</v>
      </c>
      <c r="D237" s="246">
        <v>0</v>
      </c>
      <c r="E237" s="247">
        <v>1232.97</v>
      </c>
      <c r="F237" s="1271">
        <f t="shared" si="11"/>
        <v>0</v>
      </c>
    </row>
    <row r="238" spans="1:6" ht="15" customHeight="1">
      <c r="A238" s="255"/>
      <c r="B238" s="1873" t="s">
        <v>1948</v>
      </c>
      <c r="C238" s="1874"/>
      <c r="D238" s="1874"/>
      <c r="E238" s="1875"/>
      <c r="F238" s="1324">
        <f>SUM(F239:F255)</f>
        <v>52082.06</v>
      </c>
    </row>
    <row r="239" spans="1:6" ht="15.75">
      <c r="A239" s="255">
        <v>1</v>
      </c>
      <c r="B239" s="1253" t="s">
        <v>1949</v>
      </c>
      <c r="C239" s="147" t="s">
        <v>1950</v>
      </c>
      <c r="D239" s="147">
        <v>10</v>
      </c>
      <c r="E239" s="147">
        <v>66.77</v>
      </c>
      <c r="F239" s="1271">
        <f>ROUND(E239*D239,2)</f>
        <v>667.7</v>
      </c>
    </row>
    <row r="240" spans="1:6" ht="15.75" customHeight="1">
      <c r="A240" s="255">
        <f>A239+1</f>
        <v>2</v>
      </c>
      <c r="B240" s="1253" t="s">
        <v>1951</v>
      </c>
      <c r="C240" s="147" t="s">
        <v>889</v>
      </c>
      <c r="D240" s="147">
        <v>2</v>
      </c>
      <c r="E240" s="147">
        <v>557.63</v>
      </c>
      <c r="F240" s="1271">
        <f t="shared" ref="F240:F255" si="14">ROUND(E240*D240,2)</f>
        <v>1115.26</v>
      </c>
    </row>
    <row r="241" spans="1:6" ht="15.75">
      <c r="A241" s="255">
        <f t="shared" ref="A241:A255" si="15">A240+1</f>
        <v>3</v>
      </c>
      <c r="B241" s="1253" t="s">
        <v>1952</v>
      </c>
      <c r="C241" s="147" t="s">
        <v>889</v>
      </c>
      <c r="D241" s="147">
        <v>10</v>
      </c>
      <c r="E241" s="147">
        <v>25</v>
      </c>
      <c r="F241" s="1271">
        <f t="shared" si="14"/>
        <v>250</v>
      </c>
    </row>
    <row r="242" spans="1:6" ht="15.75">
      <c r="A242" s="255">
        <f t="shared" si="15"/>
        <v>4</v>
      </c>
      <c r="B242" s="1253" t="s">
        <v>1953</v>
      </c>
      <c r="C242" s="147" t="s">
        <v>889</v>
      </c>
      <c r="D242" s="147">
        <v>10</v>
      </c>
      <c r="E242" s="147">
        <v>98</v>
      </c>
      <c r="F242" s="1271">
        <f t="shared" si="14"/>
        <v>980</v>
      </c>
    </row>
    <row r="243" spans="1:6" ht="15.75">
      <c r="A243" s="255">
        <f t="shared" si="15"/>
        <v>5</v>
      </c>
      <c r="B243" s="1253" t="s">
        <v>1954</v>
      </c>
      <c r="C243" s="147" t="s">
        <v>450</v>
      </c>
      <c r="D243" s="147">
        <v>30</v>
      </c>
      <c r="E243" s="147">
        <v>12.19</v>
      </c>
      <c r="F243" s="1271">
        <f t="shared" si="14"/>
        <v>365.7</v>
      </c>
    </row>
    <row r="244" spans="1:6" ht="15.75">
      <c r="A244" s="255">
        <f t="shared" si="15"/>
        <v>6</v>
      </c>
      <c r="B244" s="1253" t="s">
        <v>1955</v>
      </c>
      <c r="C244" s="147" t="s">
        <v>1956</v>
      </c>
      <c r="D244" s="147">
        <v>100</v>
      </c>
      <c r="E244" s="147">
        <v>26</v>
      </c>
      <c r="F244" s="1271">
        <f t="shared" si="14"/>
        <v>2600</v>
      </c>
    </row>
    <row r="245" spans="1:6" ht="15.75">
      <c r="A245" s="255">
        <f t="shared" si="15"/>
        <v>7</v>
      </c>
      <c r="B245" s="1253" t="s">
        <v>1957</v>
      </c>
      <c r="C245" s="147" t="s">
        <v>1958</v>
      </c>
      <c r="D245" s="147">
        <v>20</v>
      </c>
      <c r="E245" s="147">
        <v>16.98</v>
      </c>
      <c r="F245" s="1271">
        <f t="shared" si="14"/>
        <v>339.6</v>
      </c>
    </row>
    <row r="246" spans="1:6" ht="15.75">
      <c r="A246" s="255">
        <f t="shared" si="15"/>
        <v>8</v>
      </c>
      <c r="B246" s="1253" t="s">
        <v>1959</v>
      </c>
      <c r="C246" s="147" t="s">
        <v>1958</v>
      </c>
      <c r="D246" s="147">
        <v>20</v>
      </c>
      <c r="E246" s="147">
        <v>58.69</v>
      </c>
      <c r="F246" s="1271">
        <f t="shared" si="14"/>
        <v>1173.8</v>
      </c>
    </row>
    <row r="247" spans="1:6" ht="15.75">
      <c r="A247" s="255">
        <f t="shared" si="15"/>
        <v>9</v>
      </c>
      <c r="B247" s="1253" t="s">
        <v>1960</v>
      </c>
      <c r="C247" s="147" t="s">
        <v>1958</v>
      </c>
      <c r="D247" s="147">
        <v>175</v>
      </c>
      <c r="E247" s="147">
        <v>190</v>
      </c>
      <c r="F247" s="1271">
        <f t="shared" si="14"/>
        <v>33250</v>
      </c>
    </row>
    <row r="248" spans="1:6" ht="15.75">
      <c r="A248" s="255">
        <f t="shared" si="15"/>
        <v>10</v>
      </c>
      <c r="B248" s="1253" t="s">
        <v>1961</v>
      </c>
      <c r="C248" s="147" t="s">
        <v>1958</v>
      </c>
      <c r="D248" s="147">
        <v>10</v>
      </c>
      <c r="E248" s="147">
        <v>420</v>
      </c>
      <c r="F248" s="1271">
        <f t="shared" si="14"/>
        <v>4200</v>
      </c>
    </row>
    <row r="249" spans="1:6" ht="15.75">
      <c r="A249" s="255">
        <f t="shared" si="15"/>
        <v>11</v>
      </c>
      <c r="B249" s="1253" t="s">
        <v>1962</v>
      </c>
      <c r="C249" s="147" t="s">
        <v>1958</v>
      </c>
      <c r="D249" s="147">
        <v>10</v>
      </c>
      <c r="E249" s="147">
        <v>149</v>
      </c>
      <c r="F249" s="1271">
        <f t="shared" si="14"/>
        <v>1490</v>
      </c>
    </row>
    <row r="250" spans="1:6" ht="15.75">
      <c r="A250" s="255">
        <f t="shared" si="15"/>
        <v>12</v>
      </c>
      <c r="B250" s="1253" t="s">
        <v>1963</v>
      </c>
      <c r="C250" s="147" t="s">
        <v>1958</v>
      </c>
      <c r="D250" s="147">
        <v>5</v>
      </c>
      <c r="E250" s="147">
        <v>245</v>
      </c>
      <c r="F250" s="1271">
        <f t="shared" si="14"/>
        <v>1225</v>
      </c>
    </row>
    <row r="251" spans="1:6" ht="15.75">
      <c r="A251" s="255">
        <f t="shared" si="15"/>
        <v>13</v>
      </c>
      <c r="B251" s="1253" t="s">
        <v>1964</v>
      </c>
      <c r="C251" s="147" t="s">
        <v>1958</v>
      </c>
      <c r="D251" s="147">
        <v>5</v>
      </c>
      <c r="E251" s="147">
        <v>156</v>
      </c>
      <c r="F251" s="1271">
        <f t="shared" si="14"/>
        <v>780</v>
      </c>
    </row>
    <row r="252" spans="1:6" ht="15.75">
      <c r="A252" s="255">
        <f t="shared" si="15"/>
        <v>14</v>
      </c>
      <c r="B252" s="1253" t="s">
        <v>1965</v>
      </c>
      <c r="C252" s="147" t="s">
        <v>1958</v>
      </c>
      <c r="D252" s="147">
        <v>5</v>
      </c>
      <c r="E252" s="147">
        <v>290</v>
      </c>
      <c r="F252" s="1271">
        <f t="shared" si="14"/>
        <v>1450</v>
      </c>
    </row>
    <row r="253" spans="1:6" ht="15.75">
      <c r="A253" s="255">
        <f t="shared" si="15"/>
        <v>15</v>
      </c>
      <c r="B253" s="1253" t="s">
        <v>1966</v>
      </c>
      <c r="C253" s="147" t="s">
        <v>1950</v>
      </c>
      <c r="D253" s="147">
        <v>5</v>
      </c>
      <c r="E253" s="147">
        <v>145</v>
      </c>
      <c r="F253" s="1271">
        <f t="shared" si="14"/>
        <v>725</v>
      </c>
    </row>
    <row r="254" spans="1:6" ht="15.75">
      <c r="A254" s="255">
        <f t="shared" si="15"/>
        <v>16</v>
      </c>
      <c r="B254" s="1253" t="s">
        <v>1967</v>
      </c>
      <c r="C254" s="147" t="s">
        <v>1958</v>
      </c>
      <c r="D254" s="147">
        <v>5</v>
      </c>
      <c r="E254" s="147">
        <v>145</v>
      </c>
      <c r="F254" s="1271">
        <f t="shared" si="14"/>
        <v>725</v>
      </c>
    </row>
    <row r="255" spans="1:6" ht="15.75">
      <c r="A255" s="255">
        <f t="shared" si="15"/>
        <v>17</v>
      </c>
      <c r="B255" s="1253" t="s">
        <v>716</v>
      </c>
      <c r="C255" s="147" t="s">
        <v>1958</v>
      </c>
      <c r="D255" s="147">
        <v>5</v>
      </c>
      <c r="E255" s="147">
        <v>149</v>
      </c>
      <c r="F255" s="1271">
        <f t="shared" si="14"/>
        <v>745</v>
      </c>
    </row>
    <row r="256" spans="1:6" ht="15.75">
      <c r="A256" s="255"/>
      <c r="B256" s="1876" t="s">
        <v>717</v>
      </c>
      <c r="C256" s="1877"/>
      <c r="D256" s="1877"/>
      <c r="E256" s="1878"/>
      <c r="F256" s="1324">
        <f>SUM(F257:F263)</f>
        <v>8672</v>
      </c>
    </row>
    <row r="257" spans="1:6" ht="15.75">
      <c r="A257" s="255">
        <v>1</v>
      </c>
      <c r="B257" s="1253" t="s">
        <v>718</v>
      </c>
      <c r="C257" s="147" t="s">
        <v>889</v>
      </c>
      <c r="D257" s="147">
        <v>3</v>
      </c>
      <c r="E257" s="147">
        <v>215</v>
      </c>
      <c r="F257" s="1271">
        <f>ROUND(E257*D257,2)</f>
        <v>645</v>
      </c>
    </row>
    <row r="258" spans="1:6" ht="15.75">
      <c r="A258" s="255">
        <f t="shared" ref="A258:A263" si="16">A257+1</f>
        <v>2</v>
      </c>
      <c r="B258" s="1253" t="s">
        <v>719</v>
      </c>
      <c r="C258" s="147" t="s">
        <v>889</v>
      </c>
      <c r="D258" s="147">
        <v>9</v>
      </c>
      <c r="E258" s="147">
        <v>215</v>
      </c>
      <c r="F258" s="1271">
        <f t="shared" ref="F258:F263" si="17">ROUND(E258*D258,2)</f>
        <v>1935</v>
      </c>
    </row>
    <row r="259" spans="1:6" ht="15.75">
      <c r="A259" s="255">
        <f t="shared" si="16"/>
        <v>3</v>
      </c>
      <c r="B259" s="1253" t="s">
        <v>720</v>
      </c>
      <c r="C259" s="147" t="s">
        <v>889</v>
      </c>
      <c r="D259" s="147">
        <v>8</v>
      </c>
      <c r="E259" s="147">
        <v>120</v>
      </c>
      <c r="F259" s="1271">
        <f t="shared" si="17"/>
        <v>960</v>
      </c>
    </row>
    <row r="260" spans="1:6" ht="15.75">
      <c r="A260" s="255">
        <f t="shared" si="16"/>
        <v>4</v>
      </c>
      <c r="B260" s="1253" t="s">
        <v>721</v>
      </c>
      <c r="C260" s="147" t="s">
        <v>889</v>
      </c>
      <c r="D260" s="147">
        <v>5</v>
      </c>
      <c r="E260" s="147">
        <v>120</v>
      </c>
      <c r="F260" s="1271">
        <f t="shared" si="17"/>
        <v>600</v>
      </c>
    </row>
    <row r="261" spans="1:6" ht="15.75">
      <c r="A261" s="255">
        <f t="shared" si="16"/>
        <v>5</v>
      </c>
      <c r="B261" s="1253" t="s">
        <v>722</v>
      </c>
      <c r="C261" s="147" t="s">
        <v>889</v>
      </c>
      <c r="D261" s="147">
        <v>7</v>
      </c>
      <c r="E261" s="147">
        <v>126</v>
      </c>
      <c r="F261" s="1271">
        <f t="shared" si="17"/>
        <v>882</v>
      </c>
    </row>
    <row r="262" spans="1:6" ht="15.75">
      <c r="A262" s="255">
        <f t="shared" si="16"/>
        <v>6</v>
      </c>
      <c r="B262" s="1253" t="s">
        <v>723</v>
      </c>
      <c r="C262" s="147" t="s">
        <v>889</v>
      </c>
      <c r="D262" s="147">
        <v>15</v>
      </c>
      <c r="E262" s="147">
        <v>126</v>
      </c>
      <c r="F262" s="1271">
        <f t="shared" si="17"/>
        <v>1890</v>
      </c>
    </row>
    <row r="263" spans="1:6" ht="15.75">
      <c r="A263" s="255">
        <f t="shared" si="16"/>
        <v>7</v>
      </c>
      <c r="B263" s="1253" t="s">
        <v>724</v>
      </c>
      <c r="C263" s="147" t="s">
        <v>889</v>
      </c>
      <c r="D263" s="147">
        <v>200</v>
      </c>
      <c r="E263" s="147">
        <v>8.8000000000000007</v>
      </c>
      <c r="F263" s="1271">
        <f t="shared" si="17"/>
        <v>1760</v>
      </c>
    </row>
    <row r="264" spans="1:6" ht="15.75" hidden="1">
      <c r="A264" s="255"/>
      <c r="B264" s="1867" t="s">
        <v>725</v>
      </c>
      <c r="C264" s="1868"/>
      <c r="D264" s="1868"/>
      <c r="E264" s="1869"/>
      <c r="F264" s="1271"/>
    </row>
    <row r="265" spans="1:6" ht="15.75" hidden="1">
      <c r="A265" s="255"/>
      <c r="B265" s="1253"/>
      <c r="C265" s="147"/>
      <c r="D265" s="147"/>
      <c r="E265" s="147"/>
      <c r="F265" s="1271"/>
    </row>
    <row r="266" spans="1:6" ht="15.75" hidden="1">
      <c r="A266" s="255"/>
      <c r="B266" s="1253"/>
      <c r="C266" s="147"/>
      <c r="D266" s="147"/>
      <c r="E266" s="147"/>
      <c r="F266" s="1271"/>
    </row>
    <row r="267" spans="1:6" ht="15.75" hidden="1">
      <c r="A267" s="255"/>
      <c r="B267" s="1253"/>
      <c r="C267" s="147"/>
      <c r="D267" s="147"/>
      <c r="E267" s="147"/>
      <c r="F267" s="1271"/>
    </row>
    <row r="268" spans="1:6" ht="15.75" hidden="1">
      <c r="A268" s="255"/>
      <c r="B268" s="1253"/>
      <c r="C268" s="147"/>
      <c r="D268" s="147"/>
      <c r="E268" s="147"/>
      <c r="F268" s="1271"/>
    </row>
    <row r="269" spans="1:6" ht="15.75" hidden="1">
      <c r="A269" s="255"/>
      <c r="B269" s="1253"/>
      <c r="C269" s="147"/>
      <c r="D269" s="147"/>
      <c r="E269" s="147"/>
      <c r="F269" s="1271"/>
    </row>
    <row r="270" spans="1:6" ht="15.75" hidden="1">
      <c r="A270" s="255"/>
      <c r="B270" s="147"/>
      <c r="C270" s="147"/>
      <c r="D270" s="147"/>
      <c r="E270" s="147"/>
      <c r="F270" s="1271"/>
    </row>
    <row r="271" spans="1:6" ht="15.75">
      <c r="A271" s="1870" t="s">
        <v>183</v>
      </c>
      <c r="B271" s="1870"/>
      <c r="C271" s="1870"/>
      <c r="D271" s="1870"/>
      <c r="E271" s="1870"/>
      <c r="F271" s="248">
        <f>F7+F36+F55+F91+F122+F160+F185+F213+F223+F238+F256</f>
        <v>492450.11999999994</v>
      </c>
    </row>
    <row r="272" spans="1:6" ht="15.75">
      <c r="A272" s="515"/>
      <c r="B272" s="515"/>
      <c r="C272" s="515"/>
      <c r="D272" s="515"/>
      <c r="E272" s="515"/>
      <c r="F272" s="520"/>
    </row>
    <row r="273" spans="2:8" s="207" customFormat="1" ht="15.75">
      <c r="B273" s="506" t="s">
        <v>1077</v>
      </c>
      <c r="C273" s="507"/>
      <c r="D273" s="311"/>
      <c r="E273" s="311"/>
      <c r="F273" s="507" t="s">
        <v>1040</v>
      </c>
      <c r="G273" s="511"/>
      <c r="H273" s="311"/>
    </row>
    <row r="274" spans="2:8" s="207" customFormat="1" ht="31.5">
      <c r="B274" s="221"/>
      <c r="C274" s="1252" t="s">
        <v>1078</v>
      </c>
      <c r="D274" s="217"/>
      <c r="E274" s="217"/>
      <c r="F274" s="1252" t="s">
        <v>1079</v>
      </c>
      <c r="G274" s="511"/>
      <c r="H274" s="511"/>
    </row>
    <row r="275" spans="2:8" s="207" customFormat="1" ht="15.75">
      <c r="B275" s="514" t="s">
        <v>1076</v>
      </c>
      <c r="C275" s="507"/>
      <c r="D275" s="311"/>
      <c r="E275" s="311"/>
      <c r="F275" s="507" t="s">
        <v>1245</v>
      </c>
      <c r="G275" s="510"/>
      <c r="H275" s="311"/>
    </row>
    <row r="276" spans="2:8" s="207" customFormat="1" ht="31.5">
      <c r="B276" s="221"/>
      <c r="C276" s="217" t="s">
        <v>1078</v>
      </c>
      <c r="D276" s="217"/>
      <c r="E276" s="217"/>
      <c r="F276" s="510" t="s">
        <v>1079</v>
      </c>
      <c r="G276" s="511"/>
      <c r="H276" s="511"/>
    </row>
    <row r="278" spans="2:8" s="27" customFormat="1">
      <c r="C278" s="73"/>
    </row>
  </sheetData>
  <customSheetViews>
    <customSheetView guid="{CA0FB9E2-E541-4C74-BCFE-D75491869B36}" showPageBreaks="1" printArea="1" view="pageBreakPreview">
      <selection activeCell="D35" sqref="D35"/>
      <pageMargins left="0.98425196850393704" right="0.19685039370078741" top="0.78740157480314965" bottom="0.39370078740157483" header="0.51181102362204722" footer="0.51181102362204722"/>
      <pageSetup paperSize="9" scale="95" orientation="portrait" r:id="rId1"/>
      <headerFooter alignWithMargins="0"/>
    </customSheetView>
    <customSheetView guid="{F10E3D8B-5892-420A-B023-68C6496D556B}">
      <selection activeCell="A2" sqref="A2:F2"/>
      <pageMargins left="0.98425196850393704" right="0.19685039370078741" top="0.78740157480314965" bottom="0.39370078740157483" header="0.51181102362204722" footer="0.51181102362204722"/>
      <pageSetup paperSize="9" orientation="portrait" r:id="rId2"/>
      <headerFooter alignWithMargins="0"/>
    </customSheetView>
    <customSheetView guid="{FE7E58EF-FECC-4DF6-BB75-BA97138CB219}">
      <selection activeCell="A2" sqref="A2:F2"/>
      <pageMargins left="0.98425196850393704" right="0.19685039370078741" top="0.78740157480314965" bottom="0.39370078740157483" header="0.51181102362204722" footer="0.51181102362204722"/>
      <pageSetup paperSize="9" orientation="portrait" r:id="rId3"/>
      <headerFooter alignWithMargins="0"/>
    </customSheetView>
    <customSheetView guid="{43136B00-66C6-4289-99D3-5EF20611F834}" showPageBreaks="1" view="pageBreakPreview">
      <selection activeCell="I27" sqref="I27"/>
      <pageMargins left="0.98425196850393704" right="0.19685039370078741" top="0.78740157480314965" bottom="0.39370078740157483" header="0.51181102362204722" footer="0.51181102362204722"/>
      <pageSetup paperSize="9" scale="89" orientation="portrait" r:id="rId4"/>
      <headerFooter alignWithMargins="0"/>
    </customSheetView>
    <customSheetView guid="{22820B9F-10DE-4629-AF3D-4AF98A9BCEDB}" showPageBreaks="1" printArea="1" view="pageBreakPreview" topLeftCell="A4">
      <selection activeCell="A27" sqref="A27:IV30"/>
      <pageMargins left="0.98425196850393704" right="0.19685039370078741" top="0.78740157480314965" bottom="0.39370078740157483" header="0.51181102362204722" footer="0.51181102362204722"/>
      <pageSetup paperSize="9" scale="98" orientation="portrait" r:id="rId5"/>
      <headerFooter alignWithMargins="0"/>
    </customSheetView>
  </customSheetViews>
  <mergeCells count="19">
    <mergeCell ref="B160:E160"/>
    <mergeCell ref="B55:E55"/>
    <mergeCell ref="B91:E91"/>
    <mergeCell ref="B213:E213"/>
    <mergeCell ref="B185:E185"/>
    <mergeCell ref="B199:E199"/>
    <mergeCell ref="B2:F2"/>
    <mergeCell ref="A7:E7"/>
    <mergeCell ref="A36:E36"/>
    <mergeCell ref="B122:E122"/>
    <mergeCell ref="A3:F3"/>
    <mergeCell ref="A4:F4"/>
    <mergeCell ref="B216:E216"/>
    <mergeCell ref="B264:E264"/>
    <mergeCell ref="A271:E271"/>
    <mergeCell ref="B223:E223"/>
    <mergeCell ref="B230:E230"/>
    <mergeCell ref="B238:E238"/>
    <mergeCell ref="B256:E256"/>
  </mergeCells>
  <phoneticPr fontId="116" type="noConversion"/>
  <pageMargins left="0.98425196850393704" right="0.19685039370078741" top="0.78740157480314965" bottom="0.39370078740157483" header="0.51181102362204722" footer="0.51181102362204722"/>
  <pageSetup paperSize="9" scale="95" orientation="portrait" r:id="rId6"/>
  <headerFooter alignWithMargins="0"/>
</worksheet>
</file>

<file path=xl/worksheets/sheet39.xml><?xml version="1.0" encoding="utf-8"?>
<worksheet xmlns="http://schemas.openxmlformats.org/spreadsheetml/2006/main" xmlns:r="http://schemas.openxmlformats.org/officeDocument/2006/relationships">
  <sheetPr>
    <tabColor rgb="FFFF0000"/>
  </sheetPr>
  <dimension ref="A1:Q275"/>
  <sheetViews>
    <sheetView view="pageBreakPreview" topLeftCell="A7" zoomScaleNormal="100" zoomScaleSheetLayoutView="100" workbookViewId="0">
      <selection activeCell="E17" sqref="E17"/>
    </sheetView>
  </sheetViews>
  <sheetFormatPr defaultRowHeight="15"/>
  <cols>
    <col min="1" max="1" width="4.42578125" style="26" bestFit="1" customWidth="1"/>
    <col min="2" max="2" width="43.7109375" style="26" customWidth="1"/>
    <col min="3" max="3" width="9.85546875" style="72" customWidth="1"/>
    <col min="4" max="4" width="9.140625" style="72"/>
    <col min="5" max="5" width="10.42578125" style="72" customWidth="1"/>
    <col min="6" max="6" width="15.7109375" style="72" customWidth="1"/>
    <col min="7" max="16384" width="9.140625" style="26"/>
  </cols>
  <sheetData>
    <row r="1" spans="1:6" ht="15.75">
      <c r="A1" s="161"/>
      <c r="B1" s="161"/>
      <c r="C1" s="404"/>
      <c r="D1" s="404"/>
      <c r="E1" s="404"/>
      <c r="F1" s="209" t="s">
        <v>961</v>
      </c>
    </row>
    <row r="2" spans="1:6" ht="15.75">
      <c r="A2" s="161"/>
      <c r="B2" s="1809"/>
      <c r="C2" s="1809"/>
      <c r="D2" s="1809"/>
      <c r="E2" s="1809"/>
      <c r="F2" s="1809"/>
    </row>
    <row r="3" spans="1:6" ht="15.75" customHeight="1">
      <c r="A3" s="1475" t="s">
        <v>1919</v>
      </c>
      <c r="B3" s="1475"/>
      <c r="C3" s="1475"/>
      <c r="D3" s="1475"/>
      <c r="E3" s="1475"/>
      <c r="F3" s="1475"/>
    </row>
    <row r="4" spans="1:6" ht="15.75">
      <c r="A4" s="1862" t="s">
        <v>752</v>
      </c>
      <c r="B4" s="1862"/>
      <c r="C4" s="1862"/>
      <c r="D4" s="1862"/>
      <c r="E4" s="1862"/>
      <c r="F4" s="1862"/>
    </row>
    <row r="5" spans="1:6" s="71" customFormat="1" ht="31.5">
      <c r="A5" s="228" t="s">
        <v>1267</v>
      </c>
      <c r="B5" s="228" t="s">
        <v>218</v>
      </c>
      <c r="C5" s="228" t="s">
        <v>1305</v>
      </c>
      <c r="D5" s="228" t="s">
        <v>89</v>
      </c>
      <c r="E5" s="253" t="s">
        <v>223</v>
      </c>
      <c r="F5" s="253" t="s">
        <v>1019</v>
      </c>
    </row>
    <row r="6" spans="1:6" s="71" customFormat="1" ht="15.75">
      <c r="A6" s="228">
        <v>1</v>
      </c>
      <c r="B6" s="228">
        <v>2</v>
      </c>
      <c r="C6" s="228">
        <v>3</v>
      </c>
      <c r="D6" s="228">
        <v>4</v>
      </c>
      <c r="E6" s="254">
        <v>5</v>
      </c>
      <c r="F6" s="254">
        <v>6</v>
      </c>
    </row>
    <row r="7" spans="1:6" ht="15.75" customHeight="1">
      <c r="A7" s="1871" t="s">
        <v>32</v>
      </c>
      <c r="B7" s="1879"/>
      <c r="C7" s="1879"/>
      <c r="D7" s="1879"/>
      <c r="E7" s="1880"/>
      <c r="F7" s="1321">
        <f>SUM(F8:F52)</f>
        <v>214745.59999999998</v>
      </c>
    </row>
    <row r="8" spans="1:6" ht="15.75">
      <c r="A8" s="1221">
        <v>1</v>
      </c>
      <c r="B8" s="352" t="s">
        <v>888</v>
      </c>
      <c r="C8" s="1222" t="s">
        <v>889</v>
      </c>
      <c r="D8" s="1429">
        <v>10</v>
      </c>
      <c r="E8" s="1224">
        <v>1400</v>
      </c>
      <c r="F8" s="1322">
        <f t="shared" ref="F8:F33" si="0">ROUND(D8*E8,2)</f>
        <v>14000</v>
      </c>
    </row>
    <row r="9" spans="1:6" ht="15.75">
      <c r="A9" s="1221">
        <f>A8+1</f>
        <v>2</v>
      </c>
      <c r="B9" s="1225" t="s">
        <v>890</v>
      </c>
      <c r="C9" s="1222" t="s">
        <v>889</v>
      </c>
      <c r="D9" s="1429">
        <v>20</v>
      </c>
      <c r="E9" s="1224">
        <v>980</v>
      </c>
      <c r="F9" s="1322">
        <f t="shared" si="0"/>
        <v>19600</v>
      </c>
    </row>
    <row r="10" spans="1:6" ht="31.5">
      <c r="A10" s="1221">
        <f t="shared" ref="A10:A71" si="1">A9+1</f>
        <v>3</v>
      </c>
      <c r="B10" s="475" t="s">
        <v>891</v>
      </c>
      <c r="C10" s="1222" t="s">
        <v>889</v>
      </c>
      <c r="D10" s="1429">
        <v>5</v>
      </c>
      <c r="E10" s="1224">
        <v>539</v>
      </c>
      <c r="F10" s="1322">
        <f t="shared" si="0"/>
        <v>2695</v>
      </c>
    </row>
    <row r="11" spans="1:6" ht="15.75">
      <c r="A11" s="1221">
        <f t="shared" si="1"/>
        <v>4</v>
      </c>
      <c r="B11" s="352" t="s">
        <v>892</v>
      </c>
      <c r="C11" s="1222" t="s">
        <v>889</v>
      </c>
      <c r="D11" s="1429">
        <v>10</v>
      </c>
      <c r="E11" s="1226">
        <v>1380</v>
      </c>
      <c r="F11" s="1322">
        <f t="shared" si="0"/>
        <v>13800</v>
      </c>
    </row>
    <row r="12" spans="1:6" ht="15.75">
      <c r="A12" s="1221">
        <f t="shared" si="1"/>
        <v>5</v>
      </c>
      <c r="B12" s="352" t="s">
        <v>893</v>
      </c>
      <c r="C12" s="1222" t="s">
        <v>889</v>
      </c>
      <c r="D12" s="1429">
        <v>15</v>
      </c>
      <c r="E12" s="1226">
        <v>1832</v>
      </c>
      <c r="F12" s="1322">
        <f t="shared" si="0"/>
        <v>27480</v>
      </c>
    </row>
    <row r="13" spans="1:6" ht="15.75">
      <c r="A13" s="1221">
        <f t="shared" si="1"/>
        <v>6</v>
      </c>
      <c r="B13" s="352" t="s">
        <v>894</v>
      </c>
      <c r="C13" s="1222" t="s">
        <v>895</v>
      </c>
      <c r="D13" s="1429">
        <v>1</v>
      </c>
      <c r="E13" s="1226">
        <v>6500</v>
      </c>
      <c r="F13" s="1322">
        <f t="shared" si="0"/>
        <v>6500</v>
      </c>
    </row>
    <row r="14" spans="1:6" ht="15.75">
      <c r="A14" s="1221">
        <f t="shared" si="1"/>
        <v>7</v>
      </c>
      <c r="B14" s="352" t="s">
        <v>896</v>
      </c>
      <c r="C14" s="1222" t="s">
        <v>889</v>
      </c>
      <c r="D14" s="1223">
        <v>5</v>
      </c>
      <c r="E14" s="1226">
        <v>315</v>
      </c>
      <c r="F14" s="1322">
        <f t="shared" si="0"/>
        <v>1575</v>
      </c>
    </row>
    <row r="15" spans="1:6" ht="15.75">
      <c r="A15" s="1221">
        <f t="shared" si="1"/>
        <v>8</v>
      </c>
      <c r="B15" s="352" t="s">
        <v>897</v>
      </c>
      <c r="C15" s="1222" t="s">
        <v>889</v>
      </c>
      <c r="D15" s="1223">
        <v>10</v>
      </c>
      <c r="E15" s="1226">
        <v>512</v>
      </c>
      <c r="F15" s="1322">
        <f t="shared" si="0"/>
        <v>5120</v>
      </c>
    </row>
    <row r="16" spans="1:6" ht="15.75">
      <c r="A16" s="1221">
        <f t="shared" si="1"/>
        <v>9</v>
      </c>
      <c r="B16" s="352" t="s">
        <v>898</v>
      </c>
      <c r="C16" s="1222" t="s">
        <v>889</v>
      </c>
      <c r="D16" s="1429">
        <v>1</v>
      </c>
      <c r="E16" s="1226">
        <v>8127.4</v>
      </c>
      <c r="F16" s="1322">
        <f t="shared" si="0"/>
        <v>8127.4</v>
      </c>
    </row>
    <row r="17" spans="1:6" ht="15.75">
      <c r="A17" s="1221">
        <f t="shared" si="1"/>
        <v>10</v>
      </c>
      <c r="B17" s="352" t="s">
        <v>899</v>
      </c>
      <c r="C17" s="1222" t="s">
        <v>900</v>
      </c>
      <c r="D17" s="1223">
        <v>0</v>
      </c>
      <c r="E17" s="1226">
        <v>910</v>
      </c>
      <c r="F17" s="1322">
        <f t="shared" si="0"/>
        <v>0</v>
      </c>
    </row>
    <row r="18" spans="1:6" ht="15.75">
      <c r="A18" s="1221">
        <f t="shared" si="1"/>
        <v>11</v>
      </c>
      <c r="B18" s="352" t="s">
        <v>901</v>
      </c>
      <c r="C18" s="1222" t="s">
        <v>889</v>
      </c>
      <c r="D18" s="1223">
        <v>0</v>
      </c>
      <c r="E18" s="1226">
        <v>988</v>
      </c>
      <c r="F18" s="1322">
        <f t="shared" si="0"/>
        <v>0</v>
      </c>
    </row>
    <row r="19" spans="1:6" ht="15.75">
      <c r="A19" s="1221">
        <f t="shared" si="1"/>
        <v>12</v>
      </c>
      <c r="B19" s="352" t="s">
        <v>902</v>
      </c>
      <c r="C19" s="1222" t="s">
        <v>889</v>
      </c>
      <c r="D19" s="1223">
        <v>0</v>
      </c>
      <c r="E19" s="1226">
        <v>250</v>
      </c>
      <c r="F19" s="1322">
        <f t="shared" si="0"/>
        <v>0</v>
      </c>
    </row>
    <row r="20" spans="1:6" ht="15.75">
      <c r="A20" s="1221">
        <f t="shared" si="1"/>
        <v>13</v>
      </c>
      <c r="B20" s="1225" t="s">
        <v>903</v>
      </c>
      <c r="C20" s="1222" t="s">
        <v>889</v>
      </c>
      <c r="D20" s="1223">
        <v>0</v>
      </c>
      <c r="E20" s="1224">
        <v>558</v>
      </c>
      <c r="F20" s="1322">
        <f t="shared" si="0"/>
        <v>0</v>
      </c>
    </row>
    <row r="21" spans="1:6" ht="15.75">
      <c r="A21" s="1221">
        <f t="shared" si="1"/>
        <v>14</v>
      </c>
      <c r="B21" s="1225" t="s">
        <v>904</v>
      </c>
      <c r="C21" s="1222" t="s">
        <v>889</v>
      </c>
      <c r="D21" s="1223">
        <v>0</v>
      </c>
      <c r="E21" s="1224">
        <v>104</v>
      </c>
      <c r="F21" s="1322">
        <f t="shared" si="0"/>
        <v>0</v>
      </c>
    </row>
    <row r="22" spans="1:6" ht="15.75">
      <c r="A22" s="1221">
        <f t="shared" si="1"/>
        <v>15</v>
      </c>
      <c r="B22" s="1225" t="s">
        <v>905</v>
      </c>
      <c r="C22" s="1222" t="s">
        <v>889</v>
      </c>
      <c r="D22" s="1223">
        <v>8</v>
      </c>
      <c r="E22" s="1224">
        <v>38</v>
      </c>
      <c r="F22" s="1322">
        <f t="shared" si="0"/>
        <v>304</v>
      </c>
    </row>
    <row r="23" spans="1:6" ht="31.5">
      <c r="A23" s="1221">
        <f t="shared" si="1"/>
        <v>16</v>
      </c>
      <c r="B23" s="1225" t="s">
        <v>906</v>
      </c>
      <c r="C23" s="1222" t="s">
        <v>889</v>
      </c>
      <c r="D23" s="1223">
        <v>8</v>
      </c>
      <c r="E23" s="1224">
        <v>268</v>
      </c>
      <c r="F23" s="1322">
        <f t="shared" si="0"/>
        <v>2144</v>
      </c>
    </row>
    <row r="24" spans="1:6" ht="31.5">
      <c r="A24" s="1221">
        <f t="shared" si="1"/>
        <v>17</v>
      </c>
      <c r="B24" s="548" t="s">
        <v>907</v>
      </c>
      <c r="C24" s="1227" t="s">
        <v>908</v>
      </c>
      <c r="D24" s="1223">
        <v>60</v>
      </c>
      <c r="E24" s="1224">
        <v>120</v>
      </c>
      <c r="F24" s="1322">
        <f t="shared" si="0"/>
        <v>7200</v>
      </c>
    </row>
    <row r="25" spans="1:6" ht="31.5">
      <c r="A25" s="255">
        <f t="shared" si="1"/>
        <v>18</v>
      </c>
      <c r="B25" s="548" t="s">
        <v>909</v>
      </c>
      <c r="C25" s="1227" t="s">
        <v>908</v>
      </c>
      <c r="D25" s="246">
        <v>30</v>
      </c>
      <c r="E25" s="247">
        <v>120</v>
      </c>
      <c r="F25" s="1322">
        <f t="shared" si="0"/>
        <v>3600</v>
      </c>
    </row>
    <row r="26" spans="1:6" ht="31.5">
      <c r="A26" s="255">
        <f t="shared" si="1"/>
        <v>19</v>
      </c>
      <c r="B26" s="1225" t="s">
        <v>910</v>
      </c>
      <c r="C26" s="1227" t="s">
        <v>908</v>
      </c>
      <c r="D26" s="246">
        <v>30</v>
      </c>
      <c r="E26" s="247">
        <v>120</v>
      </c>
      <c r="F26" s="1322">
        <f t="shared" si="0"/>
        <v>3600</v>
      </c>
    </row>
    <row r="27" spans="1:6" ht="31.5">
      <c r="A27" s="255">
        <f t="shared" si="1"/>
        <v>20</v>
      </c>
      <c r="B27" s="1225" t="s">
        <v>911</v>
      </c>
      <c r="C27" s="1227" t="s">
        <v>908</v>
      </c>
      <c r="D27" s="246">
        <v>30</v>
      </c>
      <c r="E27" s="247">
        <v>120</v>
      </c>
      <c r="F27" s="1322">
        <f t="shared" si="0"/>
        <v>3600</v>
      </c>
    </row>
    <row r="28" spans="1:6" ht="31.5">
      <c r="A28" s="255">
        <f t="shared" si="1"/>
        <v>21</v>
      </c>
      <c r="B28" s="1228" t="s">
        <v>912</v>
      </c>
      <c r="C28" s="1227" t="s">
        <v>908</v>
      </c>
      <c r="D28" s="246">
        <v>120</v>
      </c>
      <c r="E28" s="247">
        <v>120</v>
      </c>
      <c r="F28" s="1322">
        <f t="shared" si="0"/>
        <v>14400</v>
      </c>
    </row>
    <row r="29" spans="1:6" ht="15.75">
      <c r="A29" s="255">
        <f t="shared" si="1"/>
        <v>22</v>
      </c>
      <c r="B29" s="231" t="s">
        <v>913</v>
      </c>
      <c r="C29" s="1227" t="s">
        <v>914</v>
      </c>
      <c r="D29" s="147">
        <v>2</v>
      </c>
      <c r="E29" s="247">
        <v>230</v>
      </c>
      <c r="F29" s="1322">
        <f t="shared" si="0"/>
        <v>460</v>
      </c>
    </row>
    <row r="30" spans="1:6" ht="15.75">
      <c r="A30" s="255">
        <f t="shared" si="1"/>
        <v>23</v>
      </c>
      <c r="B30" s="231" t="s">
        <v>915</v>
      </c>
      <c r="C30" s="1227" t="s">
        <v>914</v>
      </c>
      <c r="D30" s="147">
        <v>2</v>
      </c>
      <c r="E30" s="247">
        <v>270</v>
      </c>
      <c r="F30" s="1322">
        <f t="shared" si="0"/>
        <v>540</v>
      </c>
    </row>
    <row r="31" spans="1:6" ht="15.75">
      <c r="A31" s="255">
        <f t="shared" si="1"/>
        <v>24</v>
      </c>
      <c r="B31" s="231" t="s">
        <v>916</v>
      </c>
      <c r="C31" s="1227" t="s">
        <v>914</v>
      </c>
      <c r="D31" s="147">
        <v>2</v>
      </c>
      <c r="E31" s="247">
        <v>260</v>
      </c>
      <c r="F31" s="1322">
        <f t="shared" si="0"/>
        <v>520</v>
      </c>
    </row>
    <row r="32" spans="1:6" ht="15.75">
      <c r="A32" s="255">
        <f t="shared" si="1"/>
        <v>25</v>
      </c>
      <c r="B32" s="231" t="s">
        <v>917</v>
      </c>
      <c r="C32" s="1227" t="s">
        <v>914</v>
      </c>
      <c r="D32" s="147">
        <v>2</v>
      </c>
      <c r="E32" s="247">
        <v>250</v>
      </c>
      <c r="F32" s="1322">
        <f t="shared" si="0"/>
        <v>500</v>
      </c>
    </row>
    <row r="33" spans="1:7" ht="15.75">
      <c r="A33" s="255">
        <f t="shared" si="1"/>
        <v>26</v>
      </c>
      <c r="B33" s="231" t="s">
        <v>918</v>
      </c>
      <c r="C33" s="1227" t="s">
        <v>914</v>
      </c>
      <c r="D33" s="147">
        <v>2</v>
      </c>
      <c r="E33" s="247">
        <v>240</v>
      </c>
      <c r="F33" s="1322">
        <f t="shared" si="0"/>
        <v>480</v>
      </c>
    </row>
    <row r="34" spans="1:7" ht="15.75" customHeight="1">
      <c r="A34" s="1881" t="s">
        <v>1591</v>
      </c>
      <c r="B34" s="1882"/>
      <c r="C34" s="1882"/>
      <c r="D34" s="1882"/>
      <c r="E34" s="1883"/>
      <c r="F34" s="1321">
        <f>SUM(F35:F52)</f>
        <v>39250.1</v>
      </c>
      <c r="G34" s="1229"/>
    </row>
    <row r="35" spans="1:7" ht="15.75">
      <c r="A35" s="255">
        <v>1</v>
      </c>
      <c r="B35" s="231" t="s">
        <v>921</v>
      </c>
      <c r="C35" s="1227" t="s">
        <v>889</v>
      </c>
      <c r="D35" s="246">
        <v>5</v>
      </c>
      <c r="E35" s="247">
        <v>266</v>
      </c>
      <c r="F35" s="1322">
        <f t="shared" ref="F35:F69" si="2">ROUND(D35*E35,2)</f>
        <v>1330</v>
      </c>
    </row>
    <row r="36" spans="1:7" ht="15.75">
      <c r="A36" s="255">
        <f t="shared" si="1"/>
        <v>2</v>
      </c>
      <c r="B36" s="231" t="s">
        <v>922</v>
      </c>
      <c r="C36" s="1227" t="s">
        <v>889</v>
      </c>
      <c r="D36" s="246">
        <v>2</v>
      </c>
      <c r="E36" s="247">
        <v>756</v>
      </c>
      <c r="F36" s="1322">
        <f t="shared" si="2"/>
        <v>1512</v>
      </c>
    </row>
    <row r="37" spans="1:7" ht="15.75">
      <c r="A37" s="255">
        <f t="shared" si="1"/>
        <v>3</v>
      </c>
      <c r="B37" s="231" t="s">
        <v>923</v>
      </c>
      <c r="C37" s="1227" t="s">
        <v>889</v>
      </c>
      <c r="D37" s="246">
        <v>2</v>
      </c>
      <c r="E37" s="247">
        <v>996</v>
      </c>
      <c r="F37" s="1322">
        <f t="shared" si="2"/>
        <v>1992</v>
      </c>
    </row>
    <row r="38" spans="1:7" ht="15.75">
      <c r="A38" s="255">
        <f t="shared" si="1"/>
        <v>4</v>
      </c>
      <c r="B38" s="231" t="s">
        <v>924</v>
      </c>
      <c r="C38" s="1227" t="s">
        <v>889</v>
      </c>
      <c r="D38" s="246">
        <v>100</v>
      </c>
      <c r="E38" s="247">
        <v>8.5</v>
      </c>
      <c r="F38" s="1322">
        <f t="shared" si="2"/>
        <v>850</v>
      </c>
    </row>
    <row r="39" spans="1:7" ht="31.5">
      <c r="A39" s="255">
        <f t="shared" si="1"/>
        <v>5</v>
      </c>
      <c r="B39" s="231" t="s">
        <v>119</v>
      </c>
      <c r="C39" s="1227" t="s">
        <v>889</v>
      </c>
      <c r="D39" s="246">
        <v>30</v>
      </c>
      <c r="E39" s="247">
        <v>236</v>
      </c>
      <c r="F39" s="1322">
        <f t="shared" si="2"/>
        <v>7080</v>
      </c>
    </row>
    <row r="40" spans="1:7" ht="15.75">
      <c r="A40" s="255">
        <f t="shared" si="1"/>
        <v>6</v>
      </c>
      <c r="B40" s="231" t="s">
        <v>925</v>
      </c>
      <c r="C40" s="1227" t="s">
        <v>889</v>
      </c>
      <c r="D40" s="147">
        <v>15</v>
      </c>
      <c r="E40" s="247">
        <v>79</v>
      </c>
      <c r="F40" s="1322">
        <f t="shared" si="2"/>
        <v>1185</v>
      </c>
    </row>
    <row r="41" spans="1:7" ht="15.75">
      <c r="A41" s="255">
        <f t="shared" si="1"/>
        <v>7</v>
      </c>
      <c r="B41" s="231" t="s">
        <v>926</v>
      </c>
      <c r="C41" s="1227" t="s">
        <v>889</v>
      </c>
      <c r="D41" s="147">
        <v>35</v>
      </c>
      <c r="E41" s="247">
        <v>23.1</v>
      </c>
      <c r="F41" s="1322">
        <f t="shared" si="2"/>
        <v>808.5</v>
      </c>
    </row>
    <row r="42" spans="1:7" ht="47.25">
      <c r="A42" s="255">
        <f t="shared" si="1"/>
        <v>8</v>
      </c>
      <c r="B42" s="231" t="s">
        <v>927</v>
      </c>
      <c r="C42" s="1227" t="s">
        <v>889</v>
      </c>
      <c r="D42" s="246">
        <v>25</v>
      </c>
      <c r="E42" s="247">
        <v>107.1</v>
      </c>
      <c r="F42" s="1322">
        <f t="shared" si="2"/>
        <v>2677.5</v>
      </c>
    </row>
    <row r="43" spans="1:7" ht="31.5">
      <c r="A43" s="255">
        <f t="shared" si="1"/>
        <v>9</v>
      </c>
      <c r="B43" s="231" t="s">
        <v>928</v>
      </c>
      <c r="C43" s="1227" t="s">
        <v>889</v>
      </c>
      <c r="D43" s="246">
        <v>15</v>
      </c>
      <c r="E43" s="247">
        <v>238.5</v>
      </c>
      <c r="F43" s="1322">
        <f t="shared" si="2"/>
        <v>3577.5</v>
      </c>
    </row>
    <row r="44" spans="1:7" ht="35.25" customHeight="1">
      <c r="A44" s="255">
        <f t="shared" si="1"/>
        <v>10</v>
      </c>
      <c r="B44" s="231" t="s">
        <v>929</v>
      </c>
      <c r="C44" s="1227" t="s">
        <v>889</v>
      </c>
      <c r="D44" s="246">
        <v>15</v>
      </c>
      <c r="E44" s="247">
        <v>83</v>
      </c>
      <c r="F44" s="1322">
        <f t="shared" si="2"/>
        <v>1245</v>
      </c>
    </row>
    <row r="45" spans="1:7" ht="47.25">
      <c r="A45" s="255">
        <f t="shared" si="1"/>
        <v>11</v>
      </c>
      <c r="B45" s="231" t="s">
        <v>930</v>
      </c>
      <c r="C45" s="1227" t="s">
        <v>889</v>
      </c>
      <c r="D45" s="246">
        <v>10</v>
      </c>
      <c r="E45" s="247">
        <v>173.58</v>
      </c>
      <c r="F45" s="1322">
        <f t="shared" si="2"/>
        <v>1735.8</v>
      </c>
    </row>
    <row r="46" spans="1:7" ht="15.75">
      <c r="A46" s="255">
        <f t="shared" si="1"/>
        <v>12</v>
      </c>
      <c r="B46" s="231" t="s">
        <v>931</v>
      </c>
      <c r="C46" s="1227" t="s">
        <v>889</v>
      </c>
      <c r="D46" s="246">
        <v>100</v>
      </c>
      <c r="E46" s="247">
        <v>3.5</v>
      </c>
      <c r="F46" s="1322">
        <f t="shared" si="2"/>
        <v>350</v>
      </c>
    </row>
    <row r="47" spans="1:7" ht="17.25" customHeight="1">
      <c r="A47" s="255">
        <f t="shared" si="1"/>
        <v>13</v>
      </c>
      <c r="B47" s="231" t="s">
        <v>932</v>
      </c>
      <c r="C47" s="1227" t="s">
        <v>889</v>
      </c>
      <c r="D47" s="246">
        <v>6</v>
      </c>
      <c r="E47" s="247">
        <v>258</v>
      </c>
      <c r="F47" s="1322">
        <f t="shared" si="2"/>
        <v>1548</v>
      </c>
    </row>
    <row r="48" spans="1:7" ht="15.75" customHeight="1">
      <c r="A48" s="255">
        <f t="shared" si="1"/>
        <v>14</v>
      </c>
      <c r="B48" s="231" t="s">
        <v>933</v>
      </c>
      <c r="C48" s="1227" t="s">
        <v>889</v>
      </c>
      <c r="D48" s="246">
        <v>10</v>
      </c>
      <c r="E48" s="247">
        <v>203</v>
      </c>
      <c r="F48" s="1322">
        <f t="shared" si="2"/>
        <v>2030</v>
      </c>
    </row>
    <row r="49" spans="1:17" ht="31.5">
      <c r="A49" s="255">
        <f t="shared" si="1"/>
        <v>15</v>
      </c>
      <c r="B49" s="231" t="s">
        <v>934</v>
      </c>
      <c r="C49" s="1227" t="s">
        <v>889</v>
      </c>
      <c r="D49" s="246">
        <v>10</v>
      </c>
      <c r="E49" s="247">
        <v>75</v>
      </c>
      <c r="F49" s="1322">
        <f t="shared" si="2"/>
        <v>750</v>
      </c>
    </row>
    <row r="50" spans="1:17" ht="27.75" customHeight="1">
      <c r="A50" s="255">
        <f t="shared" si="1"/>
        <v>16</v>
      </c>
      <c r="B50" s="231" t="s">
        <v>935</v>
      </c>
      <c r="C50" s="1227" t="s">
        <v>889</v>
      </c>
      <c r="D50" s="246">
        <v>6</v>
      </c>
      <c r="E50" s="247">
        <v>147.30000000000001</v>
      </c>
      <c r="F50" s="1322">
        <f t="shared" si="2"/>
        <v>883.8</v>
      </c>
    </row>
    <row r="51" spans="1:17" ht="16.5" customHeight="1">
      <c r="A51" s="255">
        <f t="shared" si="1"/>
        <v>17</v>
      </c>
      <c r="B51" s="231" t="s">
        <v>936</v>
      </c>
      <c r="C51" s="1227" t="s">
        <v>889</v>
      </c>
      <c r="D51" s="246">
        <v>10</v>
      </c>
      <c r="E51" s="247">
        <v>675</v>
      </c>
      <c r="F51" s="1322">
        <f t="shared" si="2"/>
        <v>6750</v>
      </c>
    </row>
    <row r="52" spans="1:17" ht="30.75" customHeight="1">
      <c r="A52" s="255">
        <f t="shared" si="1"/>
        <v>18</v>
      </c>
      <c r="B52" s="231" t="s">
        <v>937</v>
      </c>
      <c r="C52" s="1227" t="s">
        <v>889</v>
      </c>
      <c r="D52" s="246">
        <v>5</v>
      </c>
      <c r="E52" s="247">
        <v>589</v>
      </c>
      <c r="F52" s="1322">
        <f t="shared" si="2"/>
        <v>2945</v>
      </c>
    </row>
    <row r="53" spans="1:17" ht="15.75" customHeight="1">
      <c r="A53" s="255"/>
      <c r="B53" s="1881" t="s">
        <v>881</v>
      </c>
      <c r="C53" s="1884"/>
      <c r="D53" s="1884"/>
      <c r="E53" s="1885"/>
      <c r="F53" s="1321">
        <f>SUM(F54:F88)</f>
        <v>27005.750000000004</v>
      </c>
    </row>
    <row r="54" spans="1:17" ht="19.5" customHeight="1">
      <c r="A54" s="255">
        <f t="shared" si="1"/>
        <v>1</v>
      </c>
      <c r="B54" s="1230" t="s">
        <v>1593</v>
      </c>
      <c r="C54" s="486" t="s">
        <v>1594</v>
      </c>
      <c r="D54" s="486">
        <v>2</v>
      </c>
      <c r="E54" s="486">
        <v>68.87</v>
      </c>
      <c r="F54" s="1322">
        <f t="shared" si="2"/>
        <v>137.74</v>
      </c>
      <c r="G54" s="1231"/>
      <c r="H54" s="1230"/>
      <c r="I54" s="1230"/>
      <c r="J54" s="1230"/>
      <c r="K54" s="1230"/>
      <c r="L54" s="1230"/>
      <c r="M54" s="1230"/>
      <c r="N54" s="1230"/>
      <c r="O54" s="1230"/>
      <c r="P54" s="1230"/>
      <c r="Q54" s="1230"/>
    </row>
    <row r="55" spans="1:17" ht="15.75">
      <c r="A55" s="255">
        <f t="shared" si="1"/>
        <v>2</v>
      </c>
      <c r="B55" s="231" t="s">
        <v>1595</v>
      </c>
      <c r="C55" s="486" t="s">
        <v>1594</v>
      </c>
      <c r="D55" s="246">
        <v>2</v>
      </c>
      <c r="E55" s="247">
        <v>257</v>
      </c>
      <c r="F55" s="1322">
        <f t="shared" si="2"/>
        <v>514</v>
      </c>
    </row>
    <row r="56" spans="1:17" ht="15.75">
      <c r="A56" s="255">
        <f t="shared" si="1"/>
        <v>3</v>
      </c>
      <c r="B56" s="231" t="s">
        <v>1596</v>
      </c>
      <c r="C56" s="486" t="s">
        <v>1594</v>
      </c>
      <c r="D56" s="246">
        <v>20</v>
      </c>
      <c r="E56" s="247">
        <v>30.95</v>
      </c>
      <c r="F56" s="1322">
        <f t="shared" si="2"/>
        <v>619</v>
      </c>
    </row>
    <row r="57" spans="1:17" ht="15.75">
      <c r="A57" s="255">
        <f t="shared" si="1"/>
        <v>4</v>
      </c>
      <c r="B57" s="231" t="s">
        <v>1597</v>
      </c>
      <c r="C57" s="486" t="s">
        <v>1594</v>
      </c>
      <c r="D57" s="246">
        <v>20</v>
      </c>
      <c r="E57" s="247">
        <v>22</v>
      </c>
      <c r="F57" s="1322">
        <f t="shared" si="2"/>
        <v>440</v>
      </c>
    </row>
    <row r="58" spans="1:17" ht="15.75">
      <c r="A58" s="255">
        <f t="shared" si="1"/>
        <v>5</v>
      </c>
      <c r="B58" s="231" t="s">
        <v>1598</v>
      </c>
      <c r="C58" s="486" t="s">
        <v>1594</v>
      </c>
      <c r="D58" s="246">
        <v>100</v>
      </c>
      <c r="E58" s="247">
        <v>14</v>
      </c>
      <c r="F58" s="1322">
        <f t="shared" si="2"/>
        <v>1400</v>
      </c>
    </row>
    <row r="59" spans="1:17" ht="15.75">
      <c r="A59" s="255">
        <f t="shared" si="1"/>
        <v>6</v>
      </c>
      <c r="B59" s="231" t="s">
        <v>1599</v>
      </c>
      <c r="C59" s="486" t="s">
        <v>1594</v>
      </c>
      <c r="D59" s="246">
        <v>50</v>
      </c>
      <c r="E59" s="247">
        <v>21.04</v>
      </c>
      <c r="F59" s="1322">
        <f t="shared" si="2"/>
        <v>1052</v>
      </c>
    </row>
    <row r="60" spans="1:17" ht="15.75" customHeight="1">
      <c r="A60" s="255">
        <f t="shared" si="1"/>
        <v>7</v>
      </c>
      <c r="B60" s="231" t="s">
        <v>1600</v>
      </c>
      <c r="C60" s="486" t="s">
        <v>1594</v>
      </c>
      <c r="D60" s="246">
        <v>25</v>
      </c>
      <c r="E60" s="247">
        <v>15.89</v>
      </c>
      <c r="F60" s="1322">
        <f t="shared" si="2"/>
        <v>397.25</v>
      </c>
    </row>
    <row r="61" spans="1:17" ht="15.75" customHeight="1">
      <c r="A61" s="255">
        <f t="shared" si="1"/>
        <v>8</v>
      </c>
      <c r="B61" s="257" t="s">
        <v>1601</v>
      </c>
      <c r="C61" s="486" t="s">
        <v>1594</v>
      </c>
      <c r="D61" s="147">
        <v>10</v>
      </c>
      <c r="E61" s="247">
        <v>17.010000000000002</v>
      </c>
      <c r="F61" s="1323">
        <f t="shared" si="2"/>
        <v>170.1</v>
      </c>
    </row>
    <row r="62" spans="1:17" ht="15.75">
      <c r="A62" s="255">
        <f t="shared" si="1"/>
        <v>9</v>
      </c>
      <c r="B62" s="257" t="s">
        <v>1602</v>
      </c>
      <c r="C62" s="486" t="s">
        <v>1594</v>
      </c>
      <c r="D62" s="147">
        <v>50</v>
      </c>
      <c r="E62" s="247">
        <v>77</v>
      </c>
      <c r="F62" s="1323">
        <f t="shared" si="2"/>
        <v>3850</v>
      </c>
    </row>
    <row r="63" spans="1:17" ht="15.75">
      <c r="A63" s="255">
        <f t="shared" si="1"/>
        <v>10</v>
      </c>
      <c r="B63" s="257" t="s">
        <v>1603</v>
      </c>
      <c r="C63" s="486" t="s">
        <v>1594</v>
      </c>
      <c r="D63" s="147">
        <v>20</v>
      </c>
      <c r="E63" s="247">
        <v>17</v>
      </c>
      <c r="F63" s="1323">
        <f t="shared" si="2"/>
        <v>340</v>
      </c>
    </row>
    <row r="64" spans="1:17" ht="15.75">
      <c r="A64" s="255">
        <f t="shared" si="1"/>
        <v>11</v>
      </c>
      <c r="B64" s="257" t="s">
        <v>1604</v>
      </c>
      <c r="C64" s="486" t="s">
        <v>1594</v>
      </c>
      <c r="D64" s="147">
        <v>10</v>
      </c>
      <c r="E64" s="247">
        <v>234.92</v>
      </c>
      <c r="F64" s="1323">
        <f t="shared" si="2"/>
        <v>2349.1999999999998</v>
      </c>
    </row>
    <row r="65" spans="1:6" ht="15.75">
      <c r="A65" s="255">
        <f t="shared" si="1"/>
        <v>12</v>
      </c>
      <c r="B65" s="257" t="s">
        <v>1605</v>
      </c>
      <c r="C65" s="486" t="s">
        <v>1594</v>
      </c>
      <c r="D65" s="147">
        <v>10</v>
      </c>
      <c r="E65" s="247">
        <v>195</v>
      </c>
      <c r="F65" s="1323">
        <f t="shared" si="2"/>
        <v>1950</v>
      </c>
    </row>
    <row r="66" spans="1:6" ht="15.75">
      <c r="A66" s="255">
        <f t="shared" si="1"/>
        <v>13</v>
      </c>
      <c r="B66" s="257" t="s">
        <v>1592</v>
      </c>
      <c r="C66" s="486" t="s">
        <v>1594</v>
      </c>
      <c r="D66" s="147">
        <v>10</v>
      </c>
      <c r="E66" s="247">
        <v>58.5</v>
      </c>
      <c r="F66" s="1323">
        <f t="shared" si="2"/>
        <v>585</v>
      </c>
    </row>
    <row r="67" spans="1:6" ht="15.75">
      <c r="A67" s="255">
        <f t="shared" si="1"/>
        <v>14</v>
      </c>
      <c r="B67" s="257" t="s">
        <v>1606</v>
      </c>
      <c r="C67" s="486" t="s">
        <v>1594</v>
      </c>
      <c r="D67" s="147">
        <v>5</v>
      </c>
      <c r="E67" s="247">
        <v>22.28</v>
      </c>
      <c r="F67" s="1323">
        <f t="shared" si="2"/>
        <v>111.4</v>
      </c>
    </row>
    <row r="68" spans="1:6" ht="15.75">
      <c r="A68" s="255">
        <f t="shared" si="1"/>
        <v>15</v>
      </c>
      <c r="B68" s="257" t="s">
        <v>1607</v>
      </c>
      <c r="C68" s="486" t="s">
        <v>1594</v>
      </c>
      <c r="D68" s="147">
        <v>5</v>
      </c>
      <c r="E68" s="247">
        <v>29.98</v>
      </c>
      <c r="F68" s="1323">
        <f t="shared" si="2"/>
        <v>149.9</v>
      </c>
    </row>
    <row r="69" spans="1:6" ht="15.75">
      <c r="A69" s="255">
        <f t="shared" si="1"/>
        <v>16</v>
      </c>
      <c r="B69" s="257" t="s">
        <v>1608</v>
      </c>
      <c r="C69" s="486" t="s">
        <v>1594</v>
      </c>
      <c r="D69" s="147">
        <v>10</v>
      </c>
      <c r="E69" s="247">
        <v>23</v>
      </c>
      <c r="F69" s="1323">
        <f t="shared" si="2"/>
        <v>230</v>
      </c>
    </row>
    <row r="70" spans="1:6" ht="15.75">
      <c r="A70" s="255">
        <f t="shared" si="1"/>
        <v>17</v>
      </c>
      <c r="B70" s="257" t="s">
        <v>1609</v>
      </c>
      <c r="C70" s="486" t="s">
        <v>1594</v>
      </c>
      <c r="D70" s="147">
        <v>20</v>
      </c>
      <c r="E70" s="247">
        <v>110.23</v>
      </c>
      <c r="F70" s="1323">
        <f t="shared" ref="F70:F119" si="3">ROUND(D70*E70,2)</f>
        <v>2204.6</v>
      </c>
    </row>
    <row r="71" spans="1:6" ht="15.75">
      <c r="A71" s="255">
        <f t="shared" si="1"/>
        <v>18</v>
      </c>
      <c r="B71" s="257" t="s">
        <v>1610</v>
      </c>
      <c r="C71" s="486" t="s">
        <v>1594</v>
      </c>
      <c r="D71" s="147">
        <v>20</v>
      </c>
      <c r="E71" s="247">
        <v>180.4</v>
      </c>
      <c r="F71" s="1323">
        <f t="shared" si="3"/>
        <v>3608</v>
      </c>
    </row>
    <row r="72" spans="1:6" ht="15.75">
      <c r="A72" s="255">
        <f t="shared" ref="A72:A135" si="4">A71+1</f>
        <v>19</v>
      </c>
      <c r="B72" s="257" t="s">
        <v>1611</v>
      </c>
      <c r="C72" s="486" t="s">
        <v>1594</v>
      </c>
      <c r="D72" s="147">
        <v>2</v>
      </c>
      <c r="E72" s="247">
        <v>151.80000000000001</v>
      </c>
      <c r="F72" s="1323">
        <f t="shared" si="3"/>
        <v>303.60000000000002</v>
      </c>
    </row>
    <row r="73" spans="1:6" ht="15.75">
      <c r="A73" s="255">
        <f t="shared" si="4"/>
        <v>20</v>
      </c>
      <c r="B73" s="257" t="s">
        <v>1612</v>
      </c>
      <c r="C73" s="486" t="s">
        <v>1594</v>
      </c>
      <c r="D73" s="147">
        <v>3</v>
      </c>
      <c r="E73" s="247">
        <v>57</v>
      </c>
      <c r="F73" s="1323">
        <f t="shared" si="3"/>
        <v>171</v>
      </c>
    </row>
    <row r="74" spans="1:6" ht="15.75">
      <c r="A74" s="255">
        <f t="shared" si="4"/>
        <v>21</v>
      </c>
      <c r="B74" s="257" t="s">
        <v>1613</v>
      </c>
      <c r="C74" s="486" t="s">
        <v>1594</v>
      </c>
      <c r="D74" s="147">
        <v>3</v>
      </c>
      <c r="E74" s="247">
        <v>137.99</v>
      </c>
      <c r="F74" s="1323">
        <f t="shared" si="3"/>
        <v>413.97</v>
      </c>
    </row>
    <row r="75" spans="1:6" ht="15.75">
      <c r="A75" s="255">
        <f t="shared" si="4"/>
        <v>22</v>
      </c>
      <c r="B75" s="257" t="s">
        <v>1614</v>
      </c>
      <c r="C75" s="486" t="s">
        <v>1594</v>
      </c>
      <c r="D75" s="147">
        <v>10</v>
      </c>
      <c r="E75" s="247">
        <v>7.02</v>
      </c>
      <c r="F75" s="1323">
        <f t="shared" si="3"/>
        <v>70.2</v>
      </c>
    </row>
    <row r="76" spans="1:6" ht="15.75">
      <c r="A76" s="255">
        <f t="shared" si="4"/>
        <v>23</v>
      </c>
      <c r="B76" s="257" t="s">
        <v>1615</v>
      </c>
      <c r="C76" s="486" t="s">
        <v>1594</v>
      </c>
      <c r="D76" s="147">
        <v>50</v>
      </c>
      <c r="E76" s="247">
        <v>20</v>
      </c>
      <c r="F76" s="1323">
        <f t="shared" si="3"/>
        <v>1000</v>
      </c>
    </row>
    <row r="77" spans="1:6" ht="31.5">
      <c r="A77" s="255">
        <f t="shared" si="4"/>
        <v>24</v>
      </c>
      <c r="B77" s="257" t="s">
        <v>1616</v>
      </c>
      <c r="C77" s="486" t="s">
        <v>1594</v>
      </c>
      <c r="D77" s="246">
        <v>5</v>
      </c>
      <c r="E77" s="247">
        <v>45.03</v>
      </c>
      <c r="F77" s="1323">
        <f t="shared" si="3"/>
        <v>225.15</v>
      </c>
    </row>
    <row r="78" spans="1:6" ht="31.5">
      <c r="A78" s="255">
        <f t="shared" si="4"/>
        <v>25</v>
      </c>
      <c r="B78" s="257" t="s">
        <v>1617</v>
      </c>
      <c r="C78" s="486" t="s">
        <v>1594</v>
      </c>
      <c r="D78" s="246">
        <v>5</v>
      </c>
      <c r="E78" s="247">
        <v>95.7</v>
      </c>
      <c r="F78" s="1323">
        <f t="shared" si="3"/>
        <v>478.5</v>
      </c>
    </row>
    <row r="79" spans="1:6" ht="15.75">
      <c r="A79" s="255">
        <f t="shared" si="4"/>
        <v>26</v>
      </c>
      <c r="B79" s="257" t="s">
        <v>1618</v>
      </c>
      <c r="C79" s="486" t="s">
        <v>1594</v>
      </c>
      <c r="D79" s="147">
        <v>3</v>
      </c>
      <c r="E79" s="247">
        <v>192.5</v>
      </c>
      <c r="F79" s="1323">
        <f t="shared" si="3"/>
        <v>577.5</v>
      </c>
    </row>
    <row r="80" spans="1:6" ht="15.75">
      <c r="A80" s="255">
        <f t="shared" si="4"/>
        <v>27</v>
      </c>
      <c r="B80" s="257" t="s">
        <v>1619</v>
      </c>
      <c r="C80" s="486" t="s">
        <v>1594</v>
      </c>
      <c r="D80" s="147">
        <v>10</v>
      </c>
      <c r="E80" s="247">
        <v>5.19</v>
      </c>
      <c r="F80" s="1323">
        <f t="shared" si="3"/>
        <v>51.9</v>
      </c>
    </row>
    <row r="81" spans="1:6" ht="15.75">
      <c r="A81" s="255">
        <f t="shared" si="4"/>
        <v>28</v>
      </c>
      <c r="B81" s="257" t="s">
        <v>1620</v>
      </c>
      <c r="C81" s="486" t="s">
        <v>1594</v>
      </c>
      <c r="D81" s="147">
        <v>10</v>
      </c>
      <c r="E81" s="247">
        <v>11.33</v>
      </c>
      <c r="F81" s="1323">
        <f t="shared" si="3"/>
        <v>113.3</v>
      </c>
    </row>
    <row r="82" spans="1:6" ht="15.75">
      <c r="A82" s="255">
        <f t="shared" si="4"/>
        <v>29</v>
      </c>
      <c r="B82" s="257" t="s">
        <v>1621</v>
      </c>
      <c r="C82" s="486" t="s">
        <v>1594</v>
      </c>
      <c r="D82" s="147">
        <v>3</v>
      </c>
      <c r="E82" s="247">
        <v>25.68</v>
      </c>
      <c r="F82" s="1323">
        <f t="shared" si="3"/>
        <v>77.040000000000006</v>
      </c>
    </row>
    <row r="83" spans="1:6" ht="15.75">
      <c r="A83" s="255">
        <f t="shared" si="4"/>
        <v>30</v>
      </c>
      <c r="B83" s="257" t="s">
        <v>1622</v>
      </c>
      <c r="C83" s="486" t="s">
        <v>1594</v>
      </c>
      <c r="D83" s="147">
        <v>50</v>
      </c>
      <c r="E83" s="247">
        <v>38</v>
      </c>
      <c r="F83" s="1323">
        <f t="shared" si="3"/>
        <v>1900</v>
      </c>
    </row>
    <row r="84" spans="1:6" ht="15.75">
      <c r="A84" s="255">
        <f t="shared" si="4"/>
        <v>31</v>
      </c>
      <c r="B84" s="257" t="s">
        <v>329</v>
      </c>
      <c r="C84" s="486" t="s">
        <v>1594</v>
      </c>
      <c r="D84" s="147">
        <v>5</v>
      </c>
      <c r="E84" s="247">
        <v>23.68</v>
      </c>
      <c r="F84" s="1323">
        <f t="shared" si="3"/>
        <v>118.4</v>
      </c>
    </row>
    <row r="85" spans="1:6" ht="31.5">
      <c r="A85" s="255">
        <f t="shared" si="4"/>
        <v>32</v>
      </c>
      <c r="B85" s="257" t="s">
        <v>330</v>
      </c>
      <c r="C85" s="486" t="s">
        <v>1594</v>
      </c>
      <c r="D85" s="246">
        <v>3</v>
      </c>
      <c r="E85" s="247">
        <v>59</v>
      </c>
      <c r="F85" s="1323">
        <f t="shared" si="3"/>
        <v>177</v>
      </c>
    </row>
    <row r="86" spans="1:6" ht="15.75">
      <c r="A86" s="255">
        <f t="shared" si="4"/>
        <v>33</v>
      </c>
      <c r="B86" s="257" t="s">
        <v>331</v>
      </c>
      <c r="C86" s="486" t="s">
        <v>1594</v>
      </c>
      <c r="D86" s="246">
        <v>20</v>
      </c>
      <c r="E86" s="247">
        <v>35</v>
      </c>
      <c r="F86" s="1323">
        <f t="shared" si="3"/>
        <v>700</v>
      </c>
    </row>
    <row r="87" spans="1:6" ht="15.75">
      <c r="A87" s="255">
        <f t="shared" si="4"/>
        <v>34</v>
      </c>
      <c r="B87" s="257" t="s">
        <v>332</v>
      </c>
      <c r="C87" s="486" t="s">
        <v>1594</v>
      </c>
      <c r="D87" s="246">
        <v>50</v>
      </c>
      <c r="E87" s="247">
        <v>8</v>
      </c>
      <c r="F87" s="1323">
        <f t="shared" si="3"/>
        <v>400</v>
      </c>
    </row>
    <row r="88" spans="1:6" ht="15.75">
      <c r="A88" s="255">
        <f t="shared" si="4"/>
        <v>35</v>
      </c>
      <c r="B88" s="257" t="s">
        <v>333</v>
      </c>
      <c r="C88" s="486" t="s">
        <v>1594</v>
      </c>
      <c r="D88" s="246">
        <v>10</v>
      </c>
      <c r="E88" s="247">
        <v>12</v>
      </c>
      <c r="F88" s="1323">
        <f t="shared" si="3"/>
        <v>120</v>
      </c>
    </row>
    <row r="89" spans="1:6" ht="15.75" customHeight="1">
      <c r="A89" s="255"/>
      <c r="B89" s="1871" t="s">
        <v>882</v>
      </c>
      <c r="C89" s="1482"/>
      <c r="D89" s="1482"/>
      <c r="E89" s="1872"/>
      <c r="F89" s="1321">
        <f>SUM(F90:F119)</f>
        <v>25292.89</v>
      </c>
    </row>
    <row r="90" spans="1:6" ht="15.75">
      <c r="A90" s="255">
        <v>1</v>
      </c>
      <c r="B90" s="257" t="s">
        <v>543</v>
      </c>
      <c r="C90" s="147" t="s">
        <v>1594</v>
      </c>
      <c r="D90" s="147">
        <v>10</v>
      </c>
      <c r="E90" s="247">
        <v>23</v>
      </c>
      <c r="F90" s="1323">
        <f t="shared" si="3"/>
        <v>230</v>
      </c>
    </row>
    <row r="91" spans="1:6" ht="15.75">
      <c r="A91" s="255">
        <f t="shared" si="4"/>
        <v>2</v>
      </c>
      <c r="B91" s="257" t="s">
        <v>545</v>
      </c>
      <c r="C91" s="147" t="s">
        <v>1594</v>
      </c>
      <c r="D91" s="147">
        <v>20</v>
      </c>
      <c r="E91" s="247">
        <v>28.99</v>
      </c>
      <c r="F91" s="1323">
        <f t="shared" si="3"/>
        <v>579.79999999999995</v>
      </c>
    </row>
    <row r="92" spans="1:6" ht="15.75">
      <c r="A92" s="255">
        <f t="shared" si="4"/>
        <v>3</v>
      </c>
      <c r="B92" s="257" t="s">
        <v>544</v>
      </c>
      <c r="C92" s="147" t="s">
        <v>1594</v>
      </c>
      <c r="D92" s="147">
        <v>10</v>
      </c>
      <c r="E92" s="247">
        <v>30.99</v>
      </c>
      <c r="F92" s="1323">
        <f t="shared" si="3"/>
        <v>309.89999999999998</v>
      </c>
    </row>
    <row r="93" spans="1:6" ht="15.75">
      <c r="A93" s="255">
        <f t="shared" si="4"/>
        <v>4</v>
      </c>
      <c r="B93" s="257" t="s">
        <v>546</v>
      </c>
      <c r="C93" s="147" t="s">
        <v>1594</v>
      </c>
      <c r="D93" s="147">
        <v>20</v>
      </c>
      <c r="E93" s="247">
        <v>20.99</v>
      </c>
      <c r="F93" s="1323">
        <f t="shared" si="3"/>
        <v>419.8</v>
      </c>
    </row>
    <row r="94" spans="1:6" ht="15.75">
      <c r="A94" s="255">
        <f t="shared" si="4"/>
        <v>5</v>
      </c>
      <c r="B94" s="257" t="s">
        <v>547</v>
      </c>
      <c r="C94" s="147" t="s">
        <v>1594</v>
      </c>
      <c r="D94" s="147">
        <v>1</v>
      </c>
      <c r="E94" s="247">
        <v>168</v>
      </c>
      <c r="F94" s="1323">
        <f t="shared" si="3"/>
        <v>168</v>
      </c>
    </row>
    <row r="95" spans="1:6" ht="15.75">
      <c r="A95" s="255">
        <f t="shared" si="4"/>
        <v>6</v>
      </c>
      <c r="B95" s="257" t="s">
        <v>548</v>
      </c>
      <c r="C95" s="147" t="s">
        <v>1594</v>
      </c>
      <c r="D95" s="147">
        <v>10</v>
      </c>
      <c r="E95" s="247">
        <v>53.99</v>
      </c>
      <c r="F95" s="1323">
        <f t="shared" si="3"/>
        <v>539.9</v>
      </c>
    </row>
    <row r="96" spans="1:6" ht="15.75">
      <c r="A96" s="255">
        <f t="shared" si="4"/>
        <v>7</v>
      </c>
      <c r="B96" s="257" t="s">
        <v>549</v>
      </c>
      <c r="C96" s="147" t="s">
        <v>1594</v>
      </c>
      <c r="D96" s="147">
        <v>10</v>
      </c>
      <c r="E96" s="247">
        <v>67</v>
      </c>
      <c r="F96" s="1323">
        <f t="shared" si="3"/>
        <v>670</v>
      </c>
    </row>
    <row r="97" spans="1:6" ht="15.75">
      <c r="A97" s="255">
        <f t="shared" si="4"/>
        <v>8</v>
      </c>
      <c r="B97" s="257" t="s">
        <v>550</v>
      </c>
      <c r="C97" s="147" t="s">
        <v>1594</v>
      </c>
      <c r="D97" s="147">
        <v>5</v>
      </c>
      <c r="E97" s="247">
        <v>94.98</v>
      </c>
      <c r="F97" s="1323">
        <f t="shared" si="3"/>
        <v>474.9</v>
      </c>
    </row>
    <row r="98" spans="1:6" ht="15.75">
      <c r="A98" s="255">
        <f t="shared" si="4"/>
        <v>9</v>
      </c>
      <c r="B98" s="257" t="s">
        <v>551</v>
      </c>
      <c r="C98" s="147" t="s">
        <v>1594</v>
      </c>
      <c r="D98" s="147">
        <v>5</v>
      </c>
      <c r="E98" s="247">
        <v>115</v>
      </c>
      <c r="F98" s="1323">
        <f t="shared" si="3"/>
        <v>575</v>
      </c>
    </row>
    <row r="99" spans="1:6" ht="15.75">
      <c r="A99" s="255">
        <f t="shared" si="4"/>
        <v>10</v>
      </c>
      <c r="B99" s="257" t="s">
        <v>552</v>
      </c>
      <c r="C99" s="147" t="s">
        <v>1594</v>
      </c>
      <c r="D99" s="147">
        <v>3</v>
      </c>
      <c r="E99" s="247">
        <v>126</v>
      </c>
      <c r="F99" s="1323">
        <f t="shared" si="3"/>
        <v>378</v>
      </c>
    </row>
    <row r="100" spans="1:6" ht="15.75">
      <c r="A100" s="255">
        <f t="shared" si="4"/>
        <v>11</v>
      </c>
      <c r="B100" s="257" t="s">
        <v>553</v>
      </c>
      <c r="C100" s="147" t="s">
        <v>1594</v>
      </c>
      <c r="D100" s="147">
        <v>2</v>
      </c>
      <c r="E100" s="247">
        <v>30.01</v>
      </c>
      <c r="F100" s="1323">
        <f t="shared" si="3"/>
        <v>60.02</v>
      </c>
    </row>
    <row r="101" spans="1:6" ht="15.75">
      <c r="A101" s="255">
        <f t="shared" si="4"/>
        <v>12</v>
      </c>
      <c r="B101" s="257" t="s">
        <v>554</v>
      </c>
      <c r="C101" s="147" t="s">
        <v>1594</v>
      </c>
      <c r="D101" s="147">
        <v>10</v>
      </c>
      <c r="E101" s="247">
        <v>6</v>
      </c>
      <c r="F101" s="1323">
        <f t="shared" si="3"/>
        <v>60</v>
      </c>
    </row>
    <row r="102" spans="1:6" ht="15.75">
      <c r="A102" s="255">
        <f t="shared" si="4"/>
        <v>13</v>
      </c>
      <c r="B102" s="257" t="s">
        <v>555</v>
      </c>
      <c r="C102" s="147" t="s">
        <v>1594</v>
      </c>
      <c r="D102" s="147">
        <v>10</v>
      </c>
      <c r="E102" s="247">
        <v>6</v>
      </c>
      <c r="F102" s="1323">
        <f t="shared" si="3"/>
        <v>60</v>
      </c>
    </row>
    <row r="103" spans="1:6" ht="31.5">
      <c r="A103" s="255">
        <f t="shared" si="4"/>
        <v>14</v>
      </c>
      <c r="B103" s="169" t="s">
        <v>556</v>
      </c>
      <c r="C103" s="147" t="s">
        <v>1594</v>
      </c>
      <c r="D103" s="1232">
        <v>5</v>
      </c>
      <c r="E103" s="247">
        <v>19.989999999999998</v>
      </c>
      <c r="F103" s="1323">
        <f t="shared" si="3"/>
        <v>99.95</v>
      </c>
    </row>
    <row r="104" spans="1:6" ht="31.5">
      <c r="A104" s="255">
        <f t="shared" si="4"/>
        <v>15</v>
      </c>
      <c r="B104" s="169" t="s">
        <v>557</v>
      </c>
      <c r="C104" s="147" t="s">
        <v>1594</v>
      </c>
      <c r="D104" s="1232">
        <v>5</v>
      </c>
      <c r="E104" s="247">
        <v>19.989999999999998</v>
      </c>
      <c r="F104" s="1323">
        <f t="shared" si="3"/>
        <v>99.95</v>
      </c>
    </row>
    <row r="105" spans="1:6" ht="15.75">
      <c r="A105" s="255">
        <f t="shared" si="4"/>
        <v>16</v>
      </c>
      <c r="B105" s="257" t="s">
        <v>558</v>
      </c>
      <c r="C105" s="147" t="s">
        <v>1594</v>
      </c>
      <c r="D105" s="1232">
        <v>10</v>
      </c>
      <c r="E105" s="247">
        <v>42.99</v>
      </c>
      <c r="F105" s="1323">
        <f t="shared" si="3"/>
        <v>429.9</v>
      </c>
    </row>
    <row r="106" spans="1:6" ht="15.75">
      <c r="A106" s="255">
        <f t="shared" si="4"/>
        <v>17</v>
      </c>
      <c r="B106" s="257" t="s">
        <v>559</v>
      </c>
      <c r="C106" s="147" t="s">
        <v>1594</v>
      </c>
      <c r="D106" s="1232">
        <v>3</v>
      </c>
      <c r="E106" s="247">
        <v>5.99</v>
      </c>
      <c r="F106" s="1323">
        <f t="shared" si="3"/>
        <v>17.97</v>
      </c>
    </row>
    <row r="107" spans="1:6" ht="15.75">
      <c r="A107" s="255">
        <f t="shared" si="4"/>
        <v>18</v>
      </c>
      <c r="B107" s="257" t="s">
        <v>560</v>
      </c>
      <c r="C107" s="147" t="s">
        <v>1594</v>
      </c>
      <c r="D107" s="1232">
        <v>9</v>
      </c>
      <c r="E107" s="247">
        <v>4</v>
      </c>
      <c r="F107" s="1323">
        <f t="shared" si="3"/>
        <v>36</v>
      </c>
    </row>
    <row r="108" spans="1:6" ht="15.75">
      <c r="A108" s="255">
        <f t="shared" si="4"/>
        <v>19</v>
      </c>
      <c r="B108" s="257" t="s">
        <v>561</v>
      </c>
      <c r="C108" s="147" t="s">
        <v>1594</v>
      </c>
      <c r="D108" s="1232">
        <v>10</v>
      </c>
      <c r="E108" s="247">
        <v>8.99</v>
      </c>
      <c r="F108" s="1323">
        <f t="shared" si="3"/>
        <v>89.9</v>
      </c>
    </row>
    <row r="109" spans="1:6" ht="15.75">
      <c r="A109" s="255">
        <f t="shared" si="4"/>
        <v>20</v>
      </c>
      <c r="B109" s="257" t="s">
        <v>562</v>
      </c>
      <c r="C109" s="147" t="s">
        <v>1594</v>
      </c>
      <c r="D109" s="1232">
        <v>10</v>
      </c>
      <c r="E109" s="247">
        <v>36</v>
      </c>
      <c r="F109" s="1323">
        <f t="shared" si="3"/>
        <v>360</v>
      </c>
    </row>
    <row r="110" spans="1:6" ht="15.75">
      <c r="A110" s="255">
        <f t="shared" si="4"/>
        <v>21</v>
      </c>
      <c r="B110" s="257" t="s">
        <v>563</v>
      </c>
      <c r="C110" s="147" t="s">
        <v>1594</v>
      </c>
      <c r="D110" s="1232">
        <v>10</v>
      </c>
      <c r="E110" s="247">
        <v>67</v>
      </c>
      <c r="F110" s="1323">
        <f t="shared" si="3"/>
        <v>670</v>
      </c>
    </row>
    <row r="111" spans="1:6" ht="15.75">
      <c r="A111" s="255">
        <f t="shared" si="4"/>
        <v>22</v>
      </c>
      <c r="B111" s="257" t="s">
        <v>564</v>
      </c>
      <c r="C111" s="147" t="s">
        <v>1594</v>
      </c>
      <c r="D111" s="1232">
        <v>10</v>
      </c>
      <c r="E111" s="247">
        <v>38.99</v>
      </c>
      <c r="F111" s="1323">
        <f t="shared" si="3"/>
        <v>389.9</v>
      </c>
    </row>
    <row r="112" spans="1:6" ht="15.75">
      <c r="A112" s="255">
        <f t="shared" si="4"/>
        <v>23</v>
      </c>
      <c r="B112" s="257" t="s">
        <v>565</v>
      </c>
      <c r="C112" s="147" t="s">
        <v>1594</v>
      </c>
      <c r="D112" s="1232">
        <v>3</v>
      </c>
      <c r="E112" s="247">
        <v>248</v>
      </c>
      <c r="F112" s="1323">
        <f t="shared" si="3"/>
        <v>744</v>
      </c>
    </row>
    <row r="113" spans="1:6" ht="15.75">
      <c r="A113" s="255">
        <f t="shared" si="4"/>
        <v>24</v>
      </c>
      <c r="B113" s="257" t="s">
        <v>566</v>
      </c>
      <c r="C113" s="147" t="s">
        <v>1594</v>
      </c>
      <c r="D113" s="1232">
        <v>10</v>
      </c>
      <c r="E113" s="247">
        <v>16</v>
      </c>
      <c r="F113" s="1323">
        <f t="shared" si="3"/>
        <v>160</v>
      </c>
    </row>
    <row r="114" spans="1:6" ht="15.75">
      <c r="A114" s="255">
        <f t="shared" si="4"/>
        <v>25</v>
      </c>
      <c r="B114" s="257" t="s">
        <v>567</v>
      </c>
      <c r="C114" s="147" t="s">
        <v>1594</v>
      </c>
      <c r="D114" s="147">
        <v>10</v>
      </c>
      <c r="E114" s="247">
        <v>22</v>
      </c>
      <c r="F114" s="1323">
        <f t="shared" si="3"/>
        <v>220</v>
      </c>
    </row>
    <row r="115" spans="1:6" ht="15.75">
      <c r="A115" s="255">
        <f t="shared" si="4"/>
        <v>26</v>
      </c>
      <c r="B115" s="257" t="s">
        <v>568</v>
      </c>
      <c r="C115" s="147" t="s">
        <v>1594</v>
      </c>
      <c r="D115" s="147">
        <v>10</v>
      </c>
      <c r="E115" s="247">
        <v>11</v>
      </c>
      <c r="F115" s="1323">
        <f t="shared" si="3"/>
        <v>110</v>
      </c>
    </row>
    <row r="116" spans="1:6" ht="15.75">
      <c r="A116" s="255">
        <f t="shared" si="4"/>
        <v>27</v>
      </c>
      <c r="B116" s="257" t="s">
        <v>569</v>
      </c>
      <c r="C116" s="147" t="s">
        <v>1594</v>
      </c>
      <c r="D116" s="147">
        <v>10</v>
      </c>
      <c r="E116" s="247">
        <v>12</v>
      </c>
      <c r="F116" s="1323">
        <f t="shared" si="3"/>
        <v>120</v>
      </c>
    </row>
    <row r="117" spans="1:6" ht="31.5">
      <c r="A117" s="255">
        <f t="shared" si="4"/>
        <v>28</v>
      </c>
      <c r="B117" s="257" t="s">
        <v>1944</v>
      </c>
      <c r="C117" s="147" t="s">
        <v>889</v>
      </c>
      <c r="D117" s="147">
        <v>6</v>
      </c>
      <c r="E117" s="247">
        <v>1590</v>
      </c>
      <c r="F117" s="1323">
        <f t="shared" si="3"/>
        <v>9540</v>
      </c>
    </row>
    <row r="118" spans="1:6" ht="31.5">
      <c r="A118" s="255">
        <f t="shared" si="4"/>
        <v>29</v>
      </c>
      <c r="B118" s="257" t="s">
        <v>1945</v>
      </c>
      <c r="C118" s="147" t="s">
        <v>889</v>
      </c>
      <c r="D118" s="147">
        <v>6</v>
      </c>
      <c r="E118" s="247">
        <v>640</v>
      </c>
      <c r="F118" s="1323">
        <f t="shared" si="3"/>
        <v>3840</v>
      </c>
    </row>
    <row r="119" spans="1:6" ht="31.5">
      <c r="A119" s="255">
        <f t="shared" si="4"/>
        <v>30</v>
      </c>
      <c r="B119" s="257" t="s">
        <v>1946</v>
      </c>
      <c r="C119" s="147" t="s">
        <v>889</v>
      </c>
      <c r="D119" s="147">
        <v>12</v>
      </c>
      <c r="E119" s="247">
        <v>320</v>
      </c>
      <c r="F119" s="1323">
        <f t="shared" si="3"/>
        <v>3840</v>
      </c>
    </row>
    <row r="120" spans="1:6" ht="15.75">
      <c r="A120" s="255"/>
      <c r="B120" s="1871" t="s">
        <v>570</v>
      </c>
      <c r="C120" s="1482"/>
      <c r="D120" s="1482"/>
      <c r="E120" s="1872"/>
      <c r="F120" s="1321">
        <f>SUM(F121:F157)</f>
        <v>21794.999999999996</v>
      </c>
    </row>
    <row r="121" spans="1:6" ht="15.75">
      <c r="A121" s="255">
        <f t="shared" si="4"/>
        <v>1</v>
      </c>
      <c r="B121" s="364" t="s">
        <v>609</v>
      </c>
      <c r="C121" s="318" t="s">
        <v>889</v>
      </c>
      <c r="D121" s="318">
        <v>10</v>
      </c>
      <c r="E121" s="500">
        <v>20.7</v>
      </c>
      <c r="F121" s="462">
        <f>E121*D121</f>
        <v>207</v>
      </c>
    </row>
    <row r="122" spans="1:6" ht="15.75">
      <c r="A122" s="255">
        <f t="shared" si="4"/>
        <v>2</v>
      </c>
      <c r="B122" s="364" t="s">
        <v>608</v>
      </c>
      <c r="C122" s="318" t="s">
        <v>889</v>
      </c>
      <c r="D122" s="318">
        <v>50</v>
      </c>
      <c r="E122" s="500">
        <v>210</v>
      </c>
      <c r="F122" s="462">
        <f t="shared" ref="F122:F185" si="5">E122*D122</f>
        <v>10500</v>
      </c>
    </row>
    <row r="123" spans="1:6" ht="15.75">
      <c r="A123" s="255">
        <f t="shared" si="4"/>
        <v>3</v>
      </c>
      <c r="B123" s="347" t="s">
        <v>607</v>
      </c>
      <c r="C123" s="317" t="s">
        <v>889</v>
      </c>
      <c r="D123" s="318">
        <v>5</v>
      </c>
      <c r="E123" s="500">
        <v>39.6</v>
      </c>
      <c r="F123" s="462">
        <f t="shared" si="5"/>
        <v>198</v>
      </c>
    </row>
    <row r="124" spans="1:6" ht="15.75">
      <c r="A124" s="255">
        <f t="shared" si="4"/>
        <v>4</v>
      </c>
      <c r="B124" s="364" t="s">
        <v>606</v>
      </c>
      <c r="C124" s="318" t="s">
        <v>889</v>
      </c>
      <c r="D124" s="318">
        <v>20</v>
      </c>
      <c r="E124" s="500">
        <v>5</v>
      </c>
      <c r="F124" s="462">
        <f t="shared" si="5"/>
        <v>100</v>
      </c>
    </row>
    <row r="125" spans="1:6" ht="15.75">
      <c r="A125" s="255">
        <f t="shared" si="4"/>
        <v>5</v>
      </c>
      <c r="B125" s="364" t="s">
        <v>605</v>
      </c>
      <c r="C125" s="318" t="s">
        <v>889</v>
      </c>
      <c r="D125" s="318">
        <v>10</v>
      </c>
      <c r="E125" s="500">
        <v>9.1999999999999993</v>
      </c>
      <c r="F125" s="462">
        <f t="shared" si="5"/>
        <v>92</v>
      </c>
    </row>
    <row r="126" spans="1:6" ht="31.5">
      <c r="A126" s="255">
        <f t="shared" si="4"/>
        <v>6</v>
      </c>
      <c r="B126" s="364" t="s">
        <v>571</v>
      </c>
      <c r="C126" s="318" t="s">
        <v>889</v>
      </c>
      <c r="D126" s="318">
        <v>4</v>
      </c>
      <c r="E126" s="500">
        <v>35.200000000000003</v>
      </c>
      <c r="F126" s="462">
        <f t="shared" si="5"/>
        <v>140.80000000000001</v>
      </c>
    </row>
    <row r="127" spans="1:6" ht="15.75">
      <c r="A127" s="255">
        <f t="shared" si="4"/>
        <v>7</v>
      </c>
      <c r="B127" s="364" t="s">
        <v>604</v>
      </c>
      <c r="C127" s="318" t="s">
        <v>889</v>
      </c>
      <c r="D127" s="318">
        <v>2</v>
      </c>
      <c r="E127" s="500">
        <v>38</v>
      </c>
      <c r="F127" s="462">
        <f t="shared" si="5"/>
        <v>76</v>
      </c>
    </row>
    <row r="128" spans="1:6" ht="15.75">
      <c r="A128" s="255">
        <f t="shared" si="4"/>
        <v>8</v>
      </c>
      <c r="B128" s="364" t="s">
        <v>603</v>
      </c>
      <c r="C128" s="318" t="s">
        <v>572</v>
      </c>
      <c r="D128" s="318">
        <v>1</v>
      </c>
      <c r="E128" s="500">
        <v>256.8</v>
      </c>
      <c r="F128" s="462">
        <f t="shared" si="5"/>
        <v>256.8</v>
      </c>
    </row>
    <row r="129" spans="1:6" ht="15.75">
      <c r="A129" s="255">
        <f t="shared" si="4"/>
        <v>9</v>
      </c>
      <c r="B129" s="364" t="s">
        <v>602</v>
      </c>
      <c r="C129" s="318" t="s">
        <v>572</v>
      </c>
      <c r="D129" s="318">
        <v>10</v>
      </c>
      <c r="E129" s="500">
        <v>22.8</v>
      </c>
      <c r="F129" s="462">
        <f t="shared" si="5"/>
        <v>228</v>
      </c>
    </row>
    <row r="130" spans="1:6" ht="15.75">
      <c r="A130" s="255">
        <f t="shared" si="4"/>
        <v>10</v>
      </c>
      <c r="B130" s="364" t="s">
        <v>601</v>
      </c>
      <c r="C130" s="318" t="s">
        <v>889</v>
      </c>
      <c r="D130" s="318">
        <v>30</v>
      </c>
      <c r="E130" s="500">
        <v>15.2</v>
      </c>
      <c r="F130" s="462">
        <f t="shared" si="5"/>
        <v>456</v>
      </c>
    </row>
    <row r="131" spans="1:6" ht="15.75">
      <c r="A131" s="255">
        <f t="shared" si="4"/>
        <v>11</v>
      </c>
      <c r="B131" s="364" t="s">
        <v>600</v>
      </c>
      <c r="C131" s="318" t="s">
        <v>889</v>
      </c>
      <c r="D131" s="318">
        <v>5</v>
      </c>
      <c r="E131" s="500">
        <v>18.5</v>
      </c>
      <c r="F131" s="462">
        <f t="shared" si="5"/>
        <v>92.5</v>
      </c>
    </row>
    <row r="132" spans="1:6" ht="15.75">
      <c r="A132" s="255">
        <f t="shared" si="4"/>
        <v>12</v>
      </c>
      <c r="B132" s="364" t="s">
        <v>599</v>
      </c>
      <c r="C132" s="318" t="s">
        <v>889</v>
      </c>
      <c r="D132" s="318">
        <v>5</v>
      </c>
      <c r="E132" s="500">
        <v>77</v>
      </c>
      <c r="F132" s="462">
        <f t="shared" si="5"/>
        <v>385</v>
      </c>
    </row>
    <row r="133" spans="1:6" ht="15.75">
      <c r="A133" s="255">
        <f t="shared" si="4"/>
        <v>13</v>
      </c>
      <c r="B133" s="364" t="s">
        <v>598</v>
      </c>
      <c r="C133" s="318" t="s">
        <v>889</v>
      </c>
      <c r="D133" s="318">
        <v>20</v>
      </c>
      <c r="E133" s="500">
        <v>39.200000000000003</v>
      </c>
      <c r="F133" s="462">
        <f t="shared" si="5"/>
        <v>784</v>
      </c>
    </row>
    <row r="134" spans="1:6" ht="15.75">
      <c r="A134" s="255">
        <f t="shared" si="4"/>
        <v>14</v>
      </c>
      <c r="B134" s="364" t="s">
        <v>597</v>
      </c>
      <c r="C134" s="318" t="s">
        <v>889</v>
      </c>
      <c r="D134" s="318">
        <v>20</v>
      </c>
      <c r="E134" s="500">
        <v>8.6999999999999993</v>
      </c>
      <c r="F134" s="462">
        <f t="shared" si="5"/>
        <v>174</v>
      </c>
    </row>
    <row r="135" spans="1:6" ht="15.75">
      <c r="A135" s="255">
        <f t="shared" si="4"/>
        <v>15</v>
      </c>
      <c r="B135" s="364" t="s">
        <v>596</v>
      </c>
      <c r="C135" s="318" t="s">
        <v>889</v>
      </c>
      <c r="D135" s="318">
        <v>2</v>
      </c>
      <c r="E135" s="500">
        <v>331.6</v>
      </c>
      <c r="F135" s="462">
        <f t="shared" si="5"/>
        <v>663.2</v>
      </c>
    </row>
    <row r="136" spans="1:6" ht="15.75">
      <c r="A136" s="255">
        <f t="shared" ref="A136:A200" si="6">A135+1</f>
        <v>16</v>
      </c>
      <c r="B136" s="364" t="s">
        <v>595</v>
      </c>
      <c r="C136" s="318" t="s">
        <v>889</v>
      </c>
      <c r="D136" s="318">
        <v>5</v>
      </c>
      <c r="E136" s="500">
        <v>108</v>
      </c>
      <c r="F136" s="462">
        <f t="shared" si="5"/>
        <v>540</v>
      </c>
    </row>
    <row r="137" spans="1:6" ht="15.75">
      <c r="A137" s="255">
        <f t="shared" si="6"/>
        <v>17</v>
      </c>
      <c r="B137" s="1233" t="s">
        <v>594</v>
      </c>
      <c r="C137" s="318" t="s">
        <v>889</v>
      </c>
      <c r="D137" s="318">
        <v>5</v>
      </c>
      <c r="E137" s="500">
        <v>8.6</v>
      </c>
      <c r="F137" s="462">
        <f t="shared" si="5"/>
        <v>43</v>
      </c>
    </row>
    <row r="138" spans="1:6" ht="31.5">
      <c r="A138" s="255">
        <f t="shared" si="6"/>
        <v>18</v>
      </c>
      <c r="B138" s="1233" t="s">
        <v>593</v>
      </c>
      <c r="C138" s="318" t="s">
        <v>889</v>
      </c>
      <c r="D138" s="318">
        <v>1</v>
      </c>
      <c r="E138" s="500">
        <v>148.80000000000001</v>
      </c>
      <c r="F138" s="462">
        <f t="shared" si="5"/>
        <v>148.80000000000001</v>
      </c>
    </row>
    <row r="139" spans="1:6" ht="15.75">
      <c r="A139" s="255">
        <f t="shared" si="6"/>
        <v>19</v>
      </c>
      <c r="B139" s="1233" t="s">
        <v>592</v>
      </c>
      <c r="C139" s="318" t="s">
        <v>889</v>
      </c>
      <c r="D139" s="318">
        <v>25</v>
      </c>
      <c r="E139" s="500">
        <v>7.3</v>
      </c>
      <c r="F139" s="462">
        <f t="shared" si="5"/>
        <v>182.5</v>
      </c>
    </row>
    <row r="140" spans="1:6" ht="15.75">
      <c r="A140" s="255">
        <f t="shared" si="6"/>
        <v>20</v>
      </c>
      <c r="B140" s="1233" t="s">
        <v>591</v>
      </c>
      <c r="C140" s="318" t="s">
        <v>889</v>
      </c>
      <c r="D140" s="318">
        <v>5</v>
      </c>
      <c r="E140" s="500">
        <v>145.6</v>
      </c>
      <c r="F140" s="462">
        <f t="shared" si="5"/>
        <v>728</v>
      </c>
    </row>
    <row r="141" spans="1:6" ht="31.5">
      <c r="A141" s="255">
        <f t="shared" si="6"/>
        <v>21</v>
      </c>
      <c r="B141" s="1233" t="s">
        <v>573</v>
      </c>
      <c r="C141" s="318" t="s">
        <v>889</v>
      </c>
      <c r="D141" s="318">
        <v>5</v>
      </c>
      <c r="E141" s="500">
        <v>116.5</v>
      </c>
      <c r="F141" s="462">
        <f t="shared" si="5"/>
        <v>582.5</v>
      </c>
    </row>
    <row r="142" spans="1:6" ht="31.5">
      <c r="A142" s="255">
        <f t="shared" si="6"/>
        <v>22</v>
      </c>
      <c r="B142" s="1233" t="s">
        <v>590</v>
      </c>
      <c r="C142" s="318" t="s">
        <v>889</v>
      </c>
      <c r="D142" s="318">
        <v>5</v>
      </c>
      <c r="E142" s="500">
        <v>104.3</v>
      </c>
      <c r="F142" s="462">
        <f t="shared" si="5"/>
        <v>521.5</v>
      </c>
    </row>
    <row r="143" spans="1:6" ht="15.75">
      <c r="A143" s="255">
        <f t="shared" si="6"/>
        <v>23</v>
      </c>
      <c r="B143" s="1233" t="s">
        <v>589</v>
      </c>
      <c r="C143" s="318" t="s">
        <v>889</v>
      </c>
      <c r="D143" s="318">
        <v>100</v>
      </c>
      <c r="E143" s="500">
        <v>4.5</v>
      </c>
      <c r="F143" s="462">
        <f t="shared" si="5"/>
        <v>450</v>
      </c>
    </row>
    <row r="144" spans="1:6" ht="15.75">
      <c r="A144" s="255">
        <f t="shared" si="6"/>
        <v>24</v>
      </c>
      <c r="B144" s="1233" t="s">
        <v>588</v>
      </c>
      <c r="C144" s="318" t="s">
        <v>889</v>
      </c>
      <c r="D144" s="318">
        <v>10</v>
      </c>
      <c r="E144" s="500">
        <v>3.6</v>
      </c>
      <c r="F144" s="462">
        <f t="shared" si="5"/>
        <v>36</v>
      </c>
    </row>
    <row r="145" spans="1:6" ht="15.75">
      <c r="A145" s="255">
        <f t="shared" si="6"/>
        <v>25</v>
      </c>
      <c r="B145" s="1233" t="s">
        <v>587</v>
      </c>
      <c r="C145" s="318" t="s">
        <v>889</v>
      </c>
      <c r="D145" s="318">
        <v>10</v>
      </c>
      <c r="E145" s="500">
        <v>5.5</v>
      </c>
      <c r="F145" s="462">
        <f t="shared" si="5"/>
        <v>55</v>
      </c>
    </row>
    <row r="146" spans="1:6" ht="15.75">
      <c r="A146" s="255">
        <f t="shared" si="6"/>
        <v>26</v>
      </c>
      <c r="B146" s="1233" t="s">
        <v>586</v>
      </c>
      <c r="C146" s="318" t="s">
        <v>889</v>
      </c>
      <c r="D146" s="318">
        <v>5</v>
      </c>
      <c r="E146" s="500">
        <v>23.5</v>
      </c>
      <c r="F146" s="462">
        <f t="shared" si="5"/>
        <v>117.5</v>
      </c>
    </row>
    <row r="147" spans="1:6" ht="15.75">
      <c r="A147" s="255">
        <f t="shared" si="6"/>
        <v>27</v>
      </c>
      <c r="B147" s="1233" t="s">
        <v>585</v>
      </c>
      <c r="C147" s="318" t="s">
        <v>574</v>
      </c>
      <c r="D147" s="318">
        <v>15</v>
      </c>
      <c r="E147" s="500">
        <v>113</v>
      </c>
      <c r="F147" s="462">
        <f t="shared" si="5"/>
        <v>1695</v>
      </c>
    </row>
    <row r="148" spans="1:6" ht="15.75">
      <c r="A148" s="255">
        <f t="shared" si="6"/>
        <v>28</v>
      </c>
      <c r="B148" s="1233" t="s">
        <v>584</v>
      </c>
      <c r="C148" s="318" t="s">
        <v>889</v>
      </c>
      <c r="D148" s="318">
        <v>5</v>
      </c>
      <c r="E148" s="500">
        <v>87.8</v>
      </c>
      <c r="F148" s="462">
        <f t="shared" si="5"/>
        <v>439</v>
      </c>
    </row>
    <row r="149" spans="1:6" ht="15.75">
      <c r="A149" s="255">
        <f t="shared" si="6"/>
        <v>29</v>
      </c>
      <c r="B149" s="1233" t="s">
        <v>583</v>
      </c>
      <c r="C149" s="318" t="s">
        <v>889</v>
      </c>
      <c r="D149" s="318">
        <v>12</v>
      </c>
      <c r="E149" s="500">
        <v>18.3</v>
      </c>
      <c r="F149" s="462">
        <f t="shared" si="5"/>
        <v>219.60000000000002</v>
      </c>
    </row>
    <row r="150" spans="1:6" ht="31.5">
      <c r="A150" s="255">
        <f t="shared" si="6"/>
        <v>30</v>
      </c>
      <c r="B150" s="1233" t="s">
        <v>575</v>
      </c>
      <c r="C150" s="318" t="s">
        <v>889</v>
      </c>
      <c r="D150" s="318">
        <v>10</v>
      </c>
      <c r="E150" s="500">
        <v>6</v>
      </c>
      <c r="F150" s="462">
        <f t="shared" si="5"/>
        <v>60</v>
      </c>
    </row>
    <row r="151" spans="1:6" ht="15.75">
      <c r="A151" s="255">
        <f t="shared" si="6"/>
        <v>31</v>
      </c>
      <c r="B151" s="1233" t="s">
        <v>582</v>
      </c>
      <c r="C151" s="318" t="s">
        <v>889</v>
      </c>
      <c r="D151" s="318">
        <v>10</v>
      </c>
      <c r="E151" s="500">
        <v>12</v>
      </c>
      <c r="F151" s="462">
        <f t="shared" si="5"/>
        <v>120</v>
      </c>
    </row>
    <row r="152" spans="1:6" ht="15.75">
      <c r="A152" s="255">
        <f t="shared" si="6"/>
        <v>32</v>
      </c>
      <c r="B152" s="1233" t="s">
        <v>581</v>
      </c>
      <c r="C152" s="318" t="s">
        <v>889</v>
      </c>
      <c r="D152" s="318">
        <v>100</v>
      </c>
      <c r="E152" s="500">
        <v>2.8</v>
      </c>
      <c r="F152" s="462">
        <f t="shared" si="5"/>
        <v>280</v>
      </c>
    </row>
    <row r="153" spans="1:6" ht="15.75">
      <c r="A153" s="255">
        <f t="shared" si="6"/>
        <v>33</v>
      </c>
      <c r="B153" s="1233" t="s">
        <v>576</v>
      </c>
      <c r="C153" s="318" t="s">
        <v>889</v>
      </c>
      <c r="D153" s="318">
        <v>5</v>
      </c>
      <c r="E153" s="500">
        <v>6.3</v>
      </c>
      <c r="F153" s="462">
        <f t="shared" si="5"/>
        <v>31.5</v>
      </c>
    </row>
    <row r="154" spans="1:6" ht="15.75">
      <c r="A154" s="255">
        <f t="shared" si="6"/>
        <v>34</v>
      </c>
      <c r="B154" s="1233" t="s">
        <v>578</v>
      </c>
      <c r="C154" s="318" t="s">
        <v>889</v>
      </c>
      <c r="D154" s="318">
        <v>1</v>
      </c>
      <c r="E154" s="500">
        <v>186.7</v>
      </c>
      <c r="F154" s="462">
        <f t="shared" si="5"/>
        <v>186.7</v>
      </c>
    </row>
    <row r="155" spans="1:6" ht="15.75" customHeight="1">
      <c r="A155" s="255">
        <f t="shared" si="6"/>
        <v>35</v>
      </c>
      <c r="B155" s="1233" t="s">
        <v>580</v>
      </c>
      <c r="C155" s="318" t="s">
        <v>889</v>
      </c>
      <c r="D155" s="318">
        <v>6</v>
      </c>
      <c r="E155" s="500">
        <v>10.3</v>
      </c>
      <c r="F155" s="462">
        <f t="shared" si="5"/>
        <v>61.800000000000004</v>
      </c>
    </row>
    <row r="156" spans="1:6" ht="31.5">
      <c r="A156" s="255">
        <f t="shared" si="6"/>
        <v>36</v>
      </c>
      <c r="B156" s="1233" t="s">
        <v>577</v>
      </c>
      <c r="C156" s="318" t="s">
        <v>889</v>
      </c>
      <c r="D156" s="318">
        <v>13</v>
      </c>
      <c r="E156" s="500">
        <v>25.6</v>
      </c>
      <c r="F156" s="462">
        <f t="shared" si="5"/>
        <v>332.8</v>
      </c>
    </row>
    <row r="157" spans="1:6" ht="15.75">
      <c r="A157" s="255">
        <f t="shared" si="6"/>
        <v>37</v>
      </c>
      <c r="B157" s="1233" t="s">
        <v>579</v>
      </c>
      <c r="C157" s="318" t="s">
        <v>889</v>
      </c>
      <c r="D157" s="318">
        <v>15</v>
      </c>
      <c r="E157" s="500">
        <v>40.700000000000003</v>
      </c>
      <c r="F157" s="462">
        <f t="shared" si="5"/>
        <v>610.5</v>
      </c>
    </row>
    <row r="158" spans="1:6" ht="15.75">
      <c r="A158" s="255"/>
      <c r="B158" s="1871" t="s">
        <v>610</v>
      </c>
      <c r="C158" s="1879"/>
      <c r="D158" s="1879"/>
      <c r="E158" s="1880"/>
      <c r="F158" s="1321">
        <f>SUM(F159:F182)</f>
        <v>82861.56</v>
      </c>
    </row>
    <row r="159" spans="1:6" ht="15.75">
      <c r="A159" s="255">
        <f t="shared" si="6"/>
        <v>1</v>
      </c>
      <c r="B159" s="257" t="s">
        <v>611</v>
      </c>
      <c r="C159" s="147" t="s">
        <v>889</v>
      </c>
      <c r="D159" s="147">
        <v>1</v>
      </c>
      <c r="E159" s="247">
        <v>1667</v>
      </c>
      <c r="F159" s="462">
        <f t="shared" si="5"/>
        <v>1667</v>
      </c>
    </row>
    <row r="160" spans="1:6" ht="15.75">
      <c r="A160" s="255">
        <f t="shared" si="6"/>
        <v>2</v>
      </c>
      <c r="B160" s="257" t="s">
        <v>612</v>
      </c>
      <c r="C160" s="147" t="s">
        <v>889</v>
      </c>
      <c r="D160" s="147">
        <v>1</v>
      </c>
      <c r="E160" s="247">
        <v>5170</v>
      </c>
      <c r="F160" s="462">
        <f t="shared" si="5"/>
        <v>5170</v>
      </c>
    </row>
    <row r="161" spans="1:6" ht="15.75">
      <c r="A161" s="255">
        <f t="shared" si="6"/>
        <v>3</v>
      </c>
      <c r="B161" s="257" t="s">
        <v>613</v>
      </c>
      <c r="C161" s="147" t="s">
        <v>889</v>
      </c>
      <c r="D161" s="147">
        <v>1</v>
      </c>
      <c r="E161" s="247">
        <v>7897</v>
      </c>
      <c r="F161" s="462">
        <f t="shared" si="5"/>
        <v>7897</v>
      </c>
    </row>
    <row r="162" spans="1:6" ht="31.5">
      <c r="A162" s="255">
        <f t="shared" si="6"/>
        <v>4</v>
      </c>
      <c r="B162" s="257" t="s">
        <v>614</v>
      </c>
      <c r="C162" s="147" t="s">
        <v>889</v>
      </c>
      <c r="D162" s="246">
        <v>1</v>
      </c>
      <c r="E162" s="247">
        <v>5946</v>
      </c>
      <c r="F162" s="1271">
        <f t="shared" si="5"/>
        <v>5946</v>
      </c>
    </row>
    <row r="163" spans="1:6" ht="15.75">
      <c r="A163" s="255">
        <f t="shared" si="6"/>
        <v>5</v>
      </c>
      <c r="B163" s="257" t="s">
        <v>615</v>
      </c>
      <c r="C163" s="147" t="s">
        <v>889</v>
      </c>
      <c r="D163" s="147">
        <v>2</v>
      </c>
      <c r="E163" s="247">
        <v>183</v>
      </c>
      <c r="F163" s="462">
        <f t="shared" si="5"/>
        <v>366</v>
      </c>
    </row>
    <row r="164" spans="1:6" ht="15.75">
      <c r="A164" s="255">
        <f t="shared" si="6"/>
        <v>6</v>
      </c>
      <c r="B164" s="257" t="s">
        <v>616</v>
      </c>
      <c r="C164" s="147" t="s">
        <v>889</v>
      </c>
      <c r="D164" s="147">
        <v>2</v>
      </c>
      <c r="E164" s="247">
        <v>187</v>
      </c>
      <c r="F164" s="462">
        <f t="shared" si="5"/>
        <v>374</v>
      </c>
    </row>
    <row r="165" spans="1:6" ht="15.75">
      <c r="A165" s="255">
        <f t="shared" si="6"/>
        <v>7</v>
      </c>
      <c r="B165" s="257" t="s">
        <v>617</v>
      </c>
      <c r="C165" s="147" t="s">
        <v>889</v>
      </c>
      <c r="D165" s="147">
        <v>1</v>
      </c>
      <c r="E165" s="247">
        <v>14615</v>
      </c>
      <c r="F165" s="462">
        <f t="shared" si="5"/>
        <v>14615</v>
      </c>
    </row>
    <row r="166" spans="1:6" ht="31.5">
      <c r="A166" s="255">
        <f t="shared" si="6"/>
        <v>8</v>
      </c>
      <c r="B166" s="257" t="s">
        <v>618</v>
      </c>
      <c r="C166" s="147" t="s">
        <v>889</v>
      </c>
      <c r="D166" s="246">
        <v>1</v>
      </c>
      <c r="E166" s="247">
        <v>11000</v>
      </c>
      <c r="F166" s="1271">
        <f t="shared" si="5"/>
        <v>11000</v>
      </c>
    </row>
    <row r="167" spans="1:6" ht="31.5">
      <c r="A167" s="255">
        <f t="shared" si="6"/>
        <v>9</v>
      </c>
      <c r="B167" s="169" t="s">
        <v>619</v>
      </c>
      <c r="C167" s="147" t="s">
        <v>889</v>
      </c>
      <c r="D167" s="147">
        <v>1</v>
      </c>
      <c r="E167" s="247">
        <v>1425</v>
      </c>
      <c r="F167" s="462">
        <f t="shared" si="5"/>
        <v>1425</v>
      </c>
    </row>
    <row r="168" spans="1:6" ht="31.5">
      <c r="A168" s="255">
        <f t="shared" si="6"/>
        <v>10</v>
      </c>
      <c r="B168" s="169" t="s">
        <v>620</v>
      </c>
      <c r="C168" s="147" t="s">
        <v>889</v>
      </c>
      <c r="D168" s="246">
        <v>1</v>
      </c>
      <c r="E168" s="247">
        <v>1425</v>
      </c>
      <c r="F168" s="1271">
        <f t="shared" si="5"/>
        <v>1425</v>
      </c>
    </row>
    <row r="169" spans="1:6" ht="15.75">
      <c r="A169" s="255">
        <f t="shared" si="6"/>
        <v>11</v>
      </c>
      <c r="B169" s="257" t="s">
        <v>621</v>
      </c>
      <c r="C169" s="147" t="s">
        <v>889</v>
      </c>
      <c r="D169" s="147">
        <v>4</v>
      </c>
      <c r="E169" s="247">
        <v>1650</v>
      </c>
      <c r="F169" s="462">
        <f t="shared" si="5"/>
        <v>6600</v>
      </c>
    </row>
    <row r="170" spans="1:6" ht="15.75">
      <c r="A170" s="255">
        <f t="shared" si="6"/>
        <v>12</v>
      </c>
      <c r="B170" s="257" t="s">
        <v>622</v>
      </c>
      <c r="C170" s="147" t="s">
        <v>889</v>
      </c>
      <c r="D170" s="147">
        <v>2</v>
      </c>
      <c r="E170" s="247">
        <v>559</v>
      </c>
      <c r="F170" s="462">
        <f t="shared" si="5"/>
        <v>1118</v>
      </c>
    </row>
    <row r="171" spans="1:6" ht="15.75">
      <c r="A171" s="255">
        <f t="shared" si="6"/>
        <v>13</v>
      </c>
      <c r="B171" s="257" t="s">
        <v>623</v>
      </c>
      <c r="C171" s="147" t="s">
        <v>889</v>
      </c>
      <c r="D171" s="147">
        <v>4</v>
      </c>
      <c r="E171" s="247">
        <v>112</v>
      </c>
      <c r="F171" s="462">
        <f t="shared" si="5"/>
        <v>448</v>
      </c>
    </row>
    <row r="172" spans="1:6" ht="15.75">
      <c r="A172" s="255">
        <f t="shared" si="6"/>
        <v>14</v>
      </c>
      <c r="B172" s="257" t="s">
        <v>624</v>
      </c>
      <c r="C172" s="147" t="s">
        <v>889</v>
      </c>
      <c r="D172" s="147">
        <v>2</v>
      </c>
      <c r="E172" s="247">
        <v>171</v>
      </c>
      <c r="F172" s="462">
        <f t="shared" si="5"/>
        <v>342</v>
      </c>
    </row>
    <row r="173" spans="1:6" ht="15.75">
      <c r="A173" s="255">
        <f t="shared" si="6"/>
        <v>15</v>
      </c>
      <c r="B173" s="257" t="s">
        <v>625</v>
      </c>
      <c r="C173" s="147" t="s">
        <v>889</v>
      </c>
      <c r="D173" s="147">
        <v>2</v>
      </c>
      <c r="E173" s="247">
        <v>554</v>
      </c>
      <c r="F173" s="462">
        <f t="shared" si="5"/>
        <v>1108</v>
      </c>
    </row>
    <row r="174" spans="1:6" ht="31.5">
      <c r="A174" s="255">
        <f t="shared" si="6"/>
        <v>16</v>
      </c>
      <c r="B174" s="257" t="s">
        <v>626</v>
      </c>
      <c r="C174" s="147" t="s">
        <v>889</v>
      </c>
      <c r="D174" s="147">
        <v>4</v>
      </c>
      <c r="E174" s="247">
        <v>25</v>
      </c>
      <c r="F174" s="462">
        <f t="shared" si="5"/>
        <v>100</v>
      </c>
    </row>
    <row r="175" spans="1:6" ht="15.75">
      <c r="A175" s="255">
        <f t="shared" si="6"/>
        <v>17</v>
      </c>
      <c r="B175" s="257" t="s">
        <v>627</v>
      </c>
      <c r="C175" s="147" t="s">
        <v>889</v>
      </c>
      <c r="D175" s="147">
        <v>1</v>
      </c>
      <c r="E175" s="247">
        <v>12683.56</v>
      </c>
      <c r="F175" s="462">
        <f t="shared" si="5"/>
        <v>12683.56</v>
      </c>
    </row>
    <row r="176" spans="1:6" ht="15.75">
      <c r="A176" s="255">
        <f t="shared" si="6"/>
        <v>18</v>
      </c>
      <c r="B176" s="257" t="s">
        <v>628</v>
      </c>
      <c r="C176" s="147" t="s">
        <v>889</v>
      </c>
      <c r="D176" s="147">
        <v>24</v>
      </c>
      <c r="E176" s="247">
        <v>110</v>
      </c>
      <c r="F176" s="462">
        <f t="shared" si="5"/>
        <v>2640</v>
      </c>
    </row>
    <row r="177" spans="1:6" ht="15.75">
      <c r="A177" s="255">
        <f t="shared" si="6"/>
        <v>19</v>
      </c>
      <c r="B177" s="257" t="s">
        <v>629</v>
      </c>
      <c r="C177" s="147" t="s">
        <v>889</v>
      </c>
      <c r="D177" s="147">
        <v>1</v>
      </c>
      <c r="E177" s="247">
        <v>1143</v>
      </c>
      <c r="F177" s="462">
        <f t="shared" si="5"/>
        <v>1143</v>
      </c>
    </row>
    <row r="178" spans="1:6" ht="15.75">
      <c r="A178" s="255">
        <f t="shared" si="6"/>
        <v>20</v>
      </c>
      <c r="B178" s="257" t="s">
        <v>630</v>
      </c>
      <c r="C178" s="147" t="s">
        <v>889</v>
      </c>
      <c r="D178" s="147">
        <v>10</v>
      </c>
      <c r="E178" s="247">
        <v>328</v>
      </c>
      <c r="F178" s="462">
        <f t="shared" si="5"/>
        <v>3280</v>
      </c>
    </row>
    <row r="179" spans="1:6" ht="15.75">
      <c r="A179" s="255">
        <f t="shared" si="6"/>
        <v>21</v>
      </c>
      <c r="B179" s="257" t="s">
        <v>631</v>
      </c>
      <c r="C179" s="147" t="s">
        <v>889</v>
      </c>
      <c r="D179" s="147">
        <v>10</v>
      </c>
      <c r="E179" s="247">
        <v>14</v>
      </c>
      <c r="F179" s="462">
        <f t="shared" si="5"/>
        <v>140</v>
      </c>
    </row>
    <row r="180" spans="1:6" ht="31.5">
      <c r="A180" s="255">
        <f t="shared" si="6"/>
        <v>22</v>
      </c>
      <c r="B180" s="257" t="s">
        <v>632</v>
      </c>
      <c r="C180" s="147" t="s">
        <v>889</v>
      </c>
      <c r="D180" s="147">
        <v>2</v>
      </c>
      <c r="E180" s="247">
        <v>580</v>
      </c>
      <c r="F180" s="462">
        <f t="shared" si="5"/>
        <v>1160</v>
      </c>
    </row>
    <row r="181" spans="1:6" ht="31.5">
      <c r="A181" s="255">
        <f t="shared" si="6"/>
        <v>23</v>
      </c>
      <c r="B181" s="257" t="s">
        <v>633</v>
      </c>
      <c r="C181" s="147" t="s">
        <v>889</v>
      </c>
      <c r="D181" s="246">
        <v>2</v>
      </c>
      <c r="E181" s="247">
        <v>1020</v>
      </c>
      <c r="F181" s="1271">
        <f t="shared" si="5"/>
        <v>2040</v>
      </c>
    </row>
    <row r="182" spans="1:6" ht="15.75">
      <c r="A182" s="255">
        <f t="shared" si="6"/>
        <v>24</v>
      </c>
      <c r="B182" s="257" t="s">
        <v>634</v>
      </c>
      <c r="C182" s="147" t="s">
        <v>889</v>
      </c>
      <c r="D182" s="147">
        <v>2</v>
      </c>
      <c r="E182" s="247">
        <v>87</v>
      </c>
      <c r="F182" s="462">
        <f t="shared" si="5"/>
        <v>174</v>
      </c>
    </row>
    <row r="183" spans="1:6" ht="15.75">
      <c r="A183" s="255"/>
      <c r="B183" s="1871" t="s">
        <v>883</v>
      </c>
      <c r="C183" s="1482"/>
      <c r="D183" s="1482"/>
      <c r="E183" s="1872"/>
      <c r="F183" s="1321">
        <f>SUM(F184:F196)</f>
        <v>56218</v>
      </c>
    </row>
    <row r="184" spans="1:6" ht="15.75">
      <c r="A184" s="255">
        <f t="shared" si="6"/>
        <v>1</v>
      </c>
      <c r="B184" s="257" t="s">
        <v>635</v>
      </c>
      <c r="C184" s="147" t="s">
        <v>889</v>
      </c>
      <c r="D184" s="147">
        <v>60</v>
      </c>
      <c r="E184" s="247">
        <v>214</v>
      </c>
      <c r="F184" s="462">
        <f t="shared" si="5"/>
        <v>12840</v>
      </c>
    </row>
    <row r="185" spans="1:6" ht="15.75">
      <c r="A185" s="255">
        <f t="shared" si="6"/>
        <v>2</v>
      </c>
      <c r="B185" s="257" t="s">
        <v>636</v>
      </c>
      <c r="C185" s="147" t="s">
        <v>889</v>
      </c>
      <c r="D185" s="147">
        <v>50</v>
      </c>
      <c r="E185" s="247">
        <v>32</v>
      </c>
      <c r="F185" s="462">
        <f t="shared" si="5"/>
        <v>1600</v>
      </c>
    </row>
    <row r="186" spans="1:6" ht="31.5">
      <c r="A186" s="255">
        <f t="shared" si="6"/>
        <v>3</v>
      </c>
      <c r="B186" s="257" t="s">
        <v>637</v>
      </c>
      <c r="C186" s="147" t="s">
        <v>889</v>
      </c>
      <c r="D186" s="147">
        <v>50</v>
      </c>
      <c r="E186" s="247">
        <v>66</v>
      </c>
      <c r="F186" s="462">
        <f t="shared" ref="F186:F206" si="7">E186*D186</f>
        <v>3300</v>
      </c>
    </row>
    <row r="187" spans="1:6" ht="15.75">
      <c r="A187" s="255">
        <f t="shared" si="6"/>
        <v>4</v>
      </c>
      <c r="B187" s="257" t="s">
        <v>638</v>
      </c>
      <c r="C187" s="147" t="s">
        <v>889</v>
      </c>
      <c r="D187" s="147">
        <v>20</v>
      </c>
      <c r="E187" s="247">
        <v>145</v>
      </c>
      <c r="F187" s="462">
        <f t="shared" si="7"/>
        <v>2900</v>
      </c>
    </row>
    <row r="188" spans="1:6" ht="15.75">
      <c r="A188" s="255">
        <f t="shared" si="6"/>
        <v>5</v>
      </c>
      <c r="B188" s="257" t="s">
        <v>639</v>
      </c>
      <c r="C188" s="147" t="s">
        <v>889</v>
      </c>
      <c r="D188" s="147">
        <v>400</v>
      </c>
      <c r="E188" s="247">
        <v>15</v>
      </c>
      <c r="F188" s="462">
        <f t="shared" si="7"/>
        <v>6000</v>
      </c>
    </row>
    <row r="189" spans="1:6" ht="31.5">
      <c r="A189" s="255">
        <f t="shared" si="6"/>
        <v>6</v>
      </c>
      <c r="B189" s="257" t="s">
        <v>640</v>
      </c>
      <c r="C189" s="147" t="s">
        <v>889</v>
      </c>
      <c r="D189" s="246">
        <v>80</v>
      </c>
      <c r="E189" s="247">
        <v>25</v>
      </c>
      <c r="F189" s="1271">
        <f t="shared" si="7"/>
        <v>2000</v>
      </c>
    </row>
    <row r="190" spans="1:6" ht="31.5">
      <c r="A190" s="255">
        <f t="shared" si="6"/>
        <v>7</v>
      </c>
      <c r="B190" s="169" t="s">
        <v>641</v>
      </c>
      <c r="C190" s="147" t="s">
        <v>889</v>
      </c>
      <c r="D190" s="246">
        <v>40</v>
      </c>
      <c r="E190" s="247">
        <v>66</v>
      </c>
      <c r="F190" s="1271">
        <f t="shared" si="7"/>
        <v>2640</v>
      </c>
    </row>
    <row r="191" spans="1:6" ht="31.5">
      <c r="A191" s="255">
        <f t="shared" si="6"/>
        <v>8</v>
      </c>
      <c r="B191" s="169" t="s">
        <v>645</v>
      </c>
      <c r="C191" s="147" t="s">
        <v>889</v>
      </c>
      <c r="D191" s="246">
        <v>60</v>
      </c>
      <c r="E191" s="247">
        <v>62</v>
      </c>
      <c r="F191" s="1271">
        <f t="shared" si="7"/>
        <v>3720</v>
      </c>
    </row>
    <row r="192" spans="1:6" ht="15.75">
      <c r="A192" s="255">
        <f t="shared" si="6"/>
        <v>9</v>
      </c>
      <c r="B192" s="257" t="s">
        <v>642</v>
      </c>
      <c r="C192" s="147" t="s">
        <v>889</v>
      </c>
      <c r="D192" s="147">
        <v>100</v>
      </c>
      <c r="E192" s="247">
        <v>32</v>
      </c>
      <c r="F192" s="462">
        <f t="shared" si="7"/>
        <v>3200</v>
      </c>
    </row>
    <row r="193" spans="1:6" ht="31.5">
      <c r="A193" s="255">
        <f t="shared" si="6"/>
        <v>10</v>
      </c>
      <c r="B193" s="257" t="s">
        <v>644</v>
      </c>
      <c r="C193" s="147" t="s">
        <v>889</v>
      </c>
      <c r="D193" s="246">
        <v>10</v>
      </c>
      <c r="E193" s="247">
        <v>1338</v>
      </c>
      <c r="F193" s="1271">
        <f t="shared" si="7"/>
        <v>13380</v>
      </c>
    </row>
    <row r="194" spans="1:6" ht="15.75">
      <c r="A194" s="255">
        <f t="shared" si="6"/>
        <v>11</v>
      </c>
      <c r="B194" s="257" t="s">
        <v>643</v>
      </c>
      <c r="C194" s="147" t="s">
        <v>889</v>
      </c>
      <c r="D194" s="147">
        <v>16</v>
      </c>
      <c r="E194" s="247">
        <v>43</v>
      </c>
      <c r="F194" s="462">
        <f t="shared" si="7"/>
        <v>688</v>
      </c>
    </row>
    <row r="195" spans="1:6" ht="15.75">
      <c r="A195" s="255">
        <f t="shared" si="6"/>
        <v>12</v>
      </c>
      <c r="B195" s="257" t="s">
        <v>646</v>
      </c>
      <c r="C195" s="147" t="s">
        <v>889</v>
      </c>
      <c r="D195" s="147">
        <v>10</v>
      </c>
      <c r="E195" s="247">
        <v>90</v>
      </c>
      <c r="F195" s="462">
        <f t="shared" si="7"/>
        <v>900</v>
      </c>
    </row>
    <row r="196" spans="1:6" ht="31.5">
      <c r="A196" s="255">
        <f t="shared" si="6"/>
        <v>13</v>
      </c>
      <c r="B196" s="257" t="s">
        <v>647</v>
      </c>
      <c r="C196" s="147" t="s">
        <v>889</v>
      </c>
      <c r="D196" s="147">
        <v>10</v>
      </c>
      <c r="E196" s="247">
        <v>305</v>
      </c>
      <c r="F196" s="462">
        <f t="shared" si="7"/>
        <v>3050</v>
      </c>
    </row>
    <row r="197" spans="1:6" ht="15.75">
      <c r="A197" s="255"/>
      <c r="B197" s="1871" t="s">
        <v>121</v>
      </c>
      <c r="C197" s="1482"/>
      <c r="D197" s="1482"/>
      <c r="E197" s="1872"/>
      <c r="F197" s="1321">
        <f>SUM(F198:F213)</f>
        <v>22367.770000000004</v>
      </c>
    </row>
    <row r="198" spans="1:6" ht="47.25">
      <c r="A198" s="255">
        <f t="shared" si="6"/>
        <v>1</v>
      </c>
      <c r="B198" s="1235" t="s">
        <v>648</v>
      </c>
      <c r="C198" s="368" t="s">
        <v>889</v>
      </c>
      <c r="D198" s="368">
        <v>7</v>
      </c>
      <c r="E198" s="1236">
        <v>154</v>
      </c>
      <c r="F198" s="462">
        <f t="shared" si="7"/>
        <v>1078</v>
      </c>
    </row>
    <row r="199" spans="1:6" ht="31.5">
      <c r="A199" s="255">
        <f t="shared" si="6"/>
        <v>2</v>
      </c>
      <c r="B199" s="552" t="s">
        <v>653</v>
      </c>
      <c r="C199" s="368" t="s">
        <v>889</v>
      </c>
      <c r="D199" s="368">
        <v>4</v>
      </c>
      <c r="E199" s="1236">
        <v>517</v>
      </c>
      <c r="F199" s="462">
        <f t="shared" si="7"/>
        <v>2068</v>
      </c>
    </row>
    <row r="200" spans="1:6" ht="15.75">
      <c r="A200" s="255">
        <f t="shared" si="6"/>
        <v>3</v>
      </c>
      <c r="B200" s="1235" t="s">
        <v>654</v>
      </c>
      <c r="C200" s="368" t="s">
        <v>889</v>
      </c>
      <c r="D200" s="368">
        <v>30</v>
      </c>
      <c r="E200" s="1236">
        <v>89</v>
      </c>
      <c r="F200" s="462">
        <f t="shared" si="7"/>
        <v>2670</v>
      </c>
    </row>
    <row r="201" spans="1:6" ht="31.5">
      <c r="A201" s="255">
        <f t="shared" ref="A201:A213" si="8">A200+1</f>
        <v>4</v>
      </c>
      <c r="B201" s="552" t="s">
        <v>657</v>
      </c>
      <c r="C201" s="1237" t="s">
        <v>889</v>
      </c>
      <c r="D201" s="368">
        <v>5</v>
      </c>
      <c r="E201" s="1236">
        <v>32</v>
      </c>
      <c r="F201" s="462">
        <f t="shared" si="7"/>
        <v>160</v>
      </c>
    </row>
    <row r="202" spans="1:6" ht="31.5">
      <c r="A202" s="255">
        <f t="shared" si="8"/>
        <v>5</v>
      </c>
      <c r="B202" s="552" t="s">
        <v>658</v>
      </c>
      <c r="C202" s="1237" t="s">
        <v>889</v>
      </c>
      <c r="D202" s="368">
        <v>5</v>
      </c>
      <c r="E202" s="1236">
        <v>61</v>
      </c>
      <c r="F202" s="462">
        <f t="shared" si="7"/>
        <v>305</v>
      </c>
    </row>
    <row r="203" spans="1:6" ht="31.5">
      <c r="A203" s="255">
        <f t="shared" si="8"/>
        <v>6</v>
      </c>
      <c r="B203" s="231" t="s">
        <v>651</v>
      </c>
      <c r="C203" s="368" t="s">
        <v>889</v>
      </c>
      <c r="D203" s="368">
        <v>114</v>
      </c>
      <c r="E203" s="1236">
        <v>16</v>
      </c>
      <c r="F203" s="462">
        <f t="shared" si="7"/>
        <v>1824</v>
      </c>
    </row>
    <row r="204" spans="1:6" ht="31.5">
      <c r="A204" s="255">
        <f t="shared" si="8"/>
        <v>7</v>
      </c>
      <c r="B204" s="1238" t="s">
        <v>659</v>
      </c>
      <c r="C204" s="368" t="s">
        <v>889</v>
      </c>
      <c r="D204" s="368">
        <v>105</v>
      </c>
      <c r="E204" s="1236">
        <v>24</v>
      </c>
      <c r="F204" s="462">
        <f t="shared" si="7"/>
        <v>2520</v>
      </c>
    </row>
    <row r="205" spans="1:6" ht="31.5">
      <c r="A205" s="255">
        <f t="shared" si="8"/>
        <v>8</v>
      </c>
      <c r="B205" s="552" t="s">
        <v>660</v>
      </c>
      <c r="C205" s="1237" t="s">
        <v>889</v>
      </c>
      <c r="D205" s="368">
        <v>56</v>
      </c>
      <c r="E205" s="1236">
        <v>25</v>
      </c>
      <c r="F205" s="462">
        <f t="shared" si="7"/>
        <v>1400</v>
      </c>
    </row>
    <row r="206" spans="1:6" ht="31.5">
      <c r="A206" s="255">
        <f t="shared" si="8"/>
        <v>9</v>
      </c>
      <c r="B206" s="552" t="s">
        <v>661</v>
      </c>
      <c r="C206" s="1237" t="s">
        <v>652</v>
      </c>
      <c r="D206" s="368">
        <v>30</v>
      </c>
      <c r="E206" s="1236">
        <v>66</v>
      </c>
      <c r="F206" s="462">
        <f t="shared" si="7"/>
        <v>1980</v>
      </c>
    </row>
    <row r="207" spans="1:6" ht="15.75">
      <c r="A207" s="255">
        <f t="shared" si="8"/>
        <v>10</v>
      </c>
      <c r="B207" s="257" t="s">
        <v>678</v>
      </c>
      <c r="C207" s="147" t="s">
        <v>684</v>
      </c>
      <c r="D207" s="147">
        <v>167</v>
      </c>
      <c r="E207" s="247">
        <v>15.6</v>
      </c>
      <c r="F207" s="462">
        <f t="shared" ref="F207:F213" si="9">E207*D207</f>
        <v>2605.1999999999998</v>
      </c>
    </row>
    <row r="208" spans="1:6" ht="15.75">
      <c r="A208" s="255">
        <f t="shared" si="8"/>
        <v>11</v>
      </c>
      <c r="B208" s="257" t="s">
        <v>680</v>
      </c>
      <c r="C208" s="147" t="s">
        <v>889</v>
      </c>
      <c r="D208" s="147">
        <v>6</v>
      </c>
      <c r="E208" s="247">
        <v>260.39999999999998</v>
      </c>
      <c r="F208" s="462">
        <f t="shared" si="9"/>
        <v>1562.3999999999999</v>
      </c>
    </row>
    <row r="209" spans="1:6" ht="15.75">
      <c r="A209" s="255">
        <f t="shared" si="8"/>
        <v>12</v>
      </c>
      <c r="B209" s="257" t="s">
        <v>679</v>
      </c>
      <c r="C209" s="147" t="s">
        <v>889</v>
      </c>
      <c r="D209" s="147">
        <v>2</v>
      </c>
      <c r="E209" s="247">
        <v>210</v>
      </c>
      <c r="F209" s="462">
        <f t="shared" si="9"/>
        <v>420</v>
      </c>
    </row>
    <row r="210" spans="1:6" ht="15.75">
      <c r="A210" s="255">
        <f t="shared" si="8"/>
        <v>13</v>
      </c>
      <c r="B210" s="257" t="s">
        <v>685</v>
      </c>
      <c r="C210" s="147" t="s">
        <v>889</v>
      </c>
      <c r="D210" s="147">
        <v>20</v>
      </c>
      <c r="E210" s="247">
        <v>49.11</v>
      </c>
      <c r="F210" s="462">
        <f t="shared" si="9"/>
        <v>982.2</v>
      </c>
    </row>
    <row r="211" spans="1:6" ht="15.75">
      <c r="A211" s="255">
        <f t="shared" si="8"/>
        <v>14</v>
      </c>
      <c r="B211" s="257" t="s">
        <v>681</v>
      </c>
      <c r="C211" s="147" t="s">
        <v>889</v>
      </c>
      <c r="D211" s="147">
        <v>20</v>
      </c>
      <c r="E211" s="247">
        <v>24.56</v>
      </c>
      <c r="F211" s="462">
        <f t="shared" si="9"/>
        <v>491.2</v>
      </c>
    </row>
    <row r="212" spans="1:6" ht="15.75">
      <c r="A212" s="255">
        <f t="shared" si="8"/>
        <v>15</v>
      </c>
      <c r="B212" s="257" t="s">
        <v>682</v>
      </c>
      <c r="C212" s="147" t="s">
        <v>889</v>
      </c>
      <c r="D212" s="147">
        <v>20</v>
      </c>
      <c r="E212" s="247">
        <v>53.44</v>
      </c>
      <c r="F212" s="462">
        <f t="shared" si="9"/>
        <v>1068.8</v>
      </c>
    </row>
    <row r="213" spans="1:6" ht="31.5">
      <c r="A213" s="255">
        <f t="shared" si="8"/>
        <v>16</v>
      </c>
      <c r="B213" s="257" t="s">
        <v>683</v>
      </c>
      <c r="C213" s="147" t="s">
        <v>889</v>
      </c>
      <c r="D213" s="246">
        <v>1</v>
      </c>
      <c r="E213" s="247">
        <v>1232.97</v>
      </c>
      <c r="F213" s="1271">
        <f t="shared" si="9"/>
        <v>1232.97</v>
      </c>
    </row>
    <row r="214" spans="1:6" ht="15.75">
      <c r="A214" s="255"/>
      <c r="B214" s="1871" t="s">
        <v>120</v>
      </c>
      <c r="C214" s="1482"/>
      <c r="D214" s="1482"/>
      <c r="E214" s="1872"/>
      <c r="F214" s="1321">
        <f>SUM(F215:F223)</f>
        <v>80562</v>
      </c>
    </row>
    <row r="215" spans="1:6" ht="31.5">
      <c r="A215" s="255">
        <v>1</v>
      </c>
      <c r="B215" s="552" t="s">
        <v>649</v>
      </c>
      <c r="C215" s="368" t="s">
        <v>889</v>
      </c>
      <c r="D215" s="368">
        <v>3</v>
      </c>
      <c r="E215" s="1236">
        <v>125</v>
      </c>
      <c r="F215" s="462">
        <f>E215*D215</f>
        <v>375</v>
      </c>
    </row>
    <row r="216" spans="1:6" ht="15.75">
      <c r="A216" s="255">
        <f>A215+1</f>
        <v>2</v>
      </c>
      <c r="B216" s="552" t="s">
        <v>650</v>
      </c>
      <c r="C216" s="368" t="s">
        <v>889</v>
      </c>
      <c r="D216" s="368">
        <v>3</v>
      </c>
      <c r="E216" s="1236">
        <v>145</v>
      </c>
      <c r="F216" s="462">
        <f>E216*D216</f>
        <v>435</v>
      </c>
    </row>
    <row r="217" spans="1:6" ht="15.75">
      <c r="A217" s="255">
        <f>A216+1</f>
        <v>3</v>
      </c>
      <c r="B217" s="552" t="s">
        <v>655</v>
      </c>
      <c r="C217" s="368" t="s">
        <v>889</v>
      </c>
      <c r="D217" s="368">
        <v>3</v>
      </c>
      <c r="E217" s="1236">
        <v>166</v>
      </c>
      <c r="F217" s="462">
        <f>E217*D217</f>
        <v>498</v>
      </c>
    </row>
    <row r="218" spans="1:6" ht="15.75">
      <c r="A218" s="255">
        <f>A217+1</f>
        <v>4</v>
      </c>
      <c r="B218" s="552" t="s">
        <v>656</v>
      </c>
      <c r="C218" s="368" t="s">
        <v>889</v>
      </c>
      <c r="D218" s="368">
        <v>3</v>
      </c>
      <c r="E218" s="1236">
        <v>165</v>
      </c>
      <c r="F218" s="462">
        <f>E218*D218</f>
        <v>495</v>
      </c>
    </row>
    <row r="219" spans="1:6" ht="15.75">
      <c r="A219" s="255"/>
      <c r="B219" s="1871" t="s">
        <v>884</v>
      </c>
      <c r="C219" s="1482"/>
      <c r="D219" s="1482"/>
      <c r="E219" s="1872"/>
      <c r="F219" s="1321">
        <f>SUM(F220:F221)</f>
        <v>23670</v>
      </c>
    </row>
    <row r="220" spans="1:6" ht="31.5">
      <c r="A220" s="255">
        <v>1</v>
      </c>
      <c r="B220" s="257" t="s">
        <v>663</v>
      </c>
      <c r="C220" s="147" t="s">
        <v>1135</v>
      </c>
      <c r="D220" s="147">
        <v>10</v>
      </c>
      <c r="E220" s="247">
        <v>219</v>
      </c>
      <c r="F220" s="462">
        <f t="shared" ref="F220:F235" si="10">E220*D220</f>
        <v>2190</v>
      </c>
    </row>
    <row r="221" spans="1:6" ht="31.5">
      <c r="A221" s="255">
        <f t="shared" ref="A221:A235" si="11">A220+1</f>
        <v>2</v>
      </c>
      <c r="B221" s="169" t="s">
        <v>664</v>
      </c>
      <c r="C221" s="147" t="s">
        <v>1135</v>
      </c>
      <c r="D221" s="147">
        <v>10</v>
      </c>
      <c r="E221" s="247">
        <v>2148</v>
      </c>
      <c r="F221" s="462">
        <f t="shared" si="10"/>
        <v>21480</v>
      </c>
    </row>
    <row r="222" spans="1:6" ht="15.75">
      <c r="A222" s="255"/>
      <c r="B222" s="1865" t="s">
        <v>671</v>
      </c>
      <c r="C222" s="1473"/>
      <c r="D222" s="1473"/>
      <c r="E222" s="1866"/>
      <c r="F222" s="1321">
        <f>SUM(F223:F228)</f>
        <v>24419</v>
      </c>
    </row>
    <row r="223" spans="1:6" ht="31.5">
      <c r="A223" s="1239">
        <v>1</v>
      </c>
      <c r="B223" s="231" t="s">
        <v>665</v>
      </c>
      <c r="C223" s="114" t="s">
        <v>1135</v>
      </c>
      <c r="D223" s="229">
        <v>2</v>
      </c>
      <c r="E223" s="1240">
        <v>3500</v>
      </c>
      <c r="F223" s="462">
        <f t="shared" si="10"/>
        <v>7000</v>
      </c>
    </row>
    <row r="224" spans="1:6" ht="15.75">
      <c r="A224" s="1239">
        <f t="shared" si="11"/>
        <v>2</v>
      </c>
      <c r="B224" s="115" t="s">
        <v>666</v>
      </c>
      <c r="C224" s="114" t="s">
        <v>1135</v>
      </c>
      <c r="D224" s="229">
        <v>3</v>
      </c>
      <c r="E224" s="1240">
        <v>1300</v>
      </c>
      <c r="F224" s="462">
        <f t="shared" si="10"/>
        <v>3900</v>
      </c>
    </row>
    <row r="225" spans="1:6" ht="15.75">
      <c r="A225" s="1239">
        <f t="shared" si="11"/>
        <v>3</v>
      </c>
      <c r="B225" s="115" t="s">
        <v>667</v>
      </c>
      <c r="C225" s="114" t="s">
        <v>1135</v>
      </c>
      <c r="D225" s="229">
        <v>1</v>
      </c>
      <c r="E225" s="1240">
        <v>5539</v>
      </c>
      <c r="F225" s="462">
        <f t="shared" si="10"/>
        <v>5539</v>
      </c>
    </row>
    <row r="226" spans="1:6" ht="31.5">
      <c r="A226" s="1239">
        <f t="shared" si="11"/>
        <v>4</v>
      </c>
      <c r="B226" s="115" t="s">
        <v>668</v>
      </c>
      <c r="C226" s="114" t="s">
        <v>1135</v>
      </c>
      <c r="D226" s="229">
        <v>1</v>
      </c>
      <c r="E226" s="1240">
        <v>4400</v>
      </c>
      <c r="F226" s="462">
        <f t="shared" si="10"/>
        <v>4400</v>
      </c>
    </row>
    <row r="227" spans="1:6" ht="15.75">
      <c r="A227" s="1239">
        <f t="shared" si="11"/>
        <v>5</v>
      </c>
      <c r="B227" s="115" t="s">
        <v>669</v>
      </c>
      <c r="C227" s="114" t="s">
        <v>1135</v>
      </c>
      <c r="D227" s="229">
        <v>2</v>
      </c>
      <c r="E227" s="1240">
        <v>390</v>
      </c>
      <c r="F227" s="462">
        <f t="shared" si="10"/>
        <v>780</v>
      </c>
    </row>
    <row r="228" spans="1:6" ht="15.75">
      <c r="A228" s="1239">
        <f t="shared" si="11"/>
        <v>6</v>
      </c>
      <c r="B228" s="115" t="s">
        <v>670</v>
      </c>
      <c r="C228" s="114" t="s">
        <v>1135</v>
      </c>
      <c r="D228" s="229">
        <v>2</v>
      </c>
      <c r="E228" s="1240">
        <v>1400</v>
      </c>
      <c r="F228" s="462">
        <f t="shared" si="10"/>
        <v>2800</v>
      </c>
    </row>
    <row r="229" spans="1:6" ht="15.75">
      <c r="A229" s="255"/>
      <c r="B229" s="1871" t="s">
        <v>1947</v>
      </c>
      <c r="C229" s="1482"/>
      <c r="D229" s="1482"/>
      <c r="E229" s="1872"/>
      <c r="F229" s="1321">
        <f>SUM(F230:F235)</f>
        <v>24248</v>
      </c>
    </row>
    <row r="230" spans="1:6" ht="15.75">
      <c r="A230" s="255">
        <f t="shared" si="11"/>
        <v>1</v>
      </c>
      <c r="B230" s="257" t="s">
        <v>672</v>
      </c>
      <c r="C230" s="114" t="s">
        <v>1135</v>
      </c>
      <c r="D230" s="335">
        <v>2</v>
      </c>
      <c r="E230" s="1241">
        <v>1778</v>
      </c>
      <c r="F230" s="462">
        <f t="shared" si="10"/>
        <v>3556</v>
      </c>
    </row>
    <row r="231" spans="1:6" ht="15.75">
      <c r="A231" s="255">
        <f t="shared" si="11"/>
        <v>2</v>
      </c>
      <c r="B231" s="257" t="s">
        <v>673</v>
      </c>
      <c r="C231" s="114" t="s">
        <v>1135</v>
      </c>
      <c r="D231" s="335">
        <v>6</v>
      </c>
      <c r="E231" s="1241">
        <v>1456</v>
      </c>
      <c r="F231" s="462">
        <f t="shared" si="10"/>
        <v>8736</v>
      </c>
    </row>
    <row r="232" spans="1:6" ht="15.75">
      <c r="A232" s="255">
        <f t="shared" si="11"/>
        <v>3</v>
      </c>
      <c r="B232" s="257" t="s">
        <v>674</v>
      </c>
      <c r="C232" s="114" t="s">
        <v>1135</v>
      </c>
      <c r="D232" s="335">
        <v>4</v>
      </c>
      <c r="E232" s="1241">
        <v>1589</v>
      </c>
      <c r="F232" s="462">
        <f t="shared" si="10"/>
        <v>6356</v>
      </c>
    </row>
    <row r="233" spans="1:6" ht="15.75">
      <c r="A233" s="255">
        <f t="shared" si="11"/>
        <v>4</v>
      </c>
      <c r="B233" s="257" t="s">
        <v>675</v>
      </c>
      <c r="C233" s="114" t="s">
        <v>1135</v>
      </c>
      <c r="D233" s="335">
        <v>2</v>
      </c>
      <c r="E233" s="1241">
        <v>800</v>
      </c>
      <c r="F233" s="462">
        <f t="shared" si="10"/>
        <v>1600</v>
      </c>
    </row>
    <row r="234" spans="1:6" ht="15.75">
      <c r="A234" s="255">
        <f t="shared" si="11"/>
        <v>5</v>
      </c>
      <c r="B234" s="257" t="s">
        <v>676</v>
      </c>
      <c r="C234" s="114" t="s">
        <v>1135</v>
      </c>
      <c r="D234" s="335">
        <v>2</v>
      </c>
      <c r="E234" s="1241">
        <v>1000</v>
      </c>
      <c r="F234" s="462">
        <f t="shared" si="10"/>
        <v>2000</v>
      </c>
    </row>
    <row r="235" spans="1:6" ht="15.75">
      <c r="A235" s="255">
        <f t="shared" si="11"/>
        <v>6</v>
      </c>
      <c r="B235" s="257" t="s">
        <v>677</v>
      </c>
      <c r="C235" s="114" t="s">
        <v>1135</v>
      </c>
      <c r="D235" s="335">
        <v>2</v>
      </c>
      <c r="E235" s="1241">
        <v>1000</v>
      </c>
      <c r="F235" s="462">
        <f t="shared" si="10"/>
        <v>2000</v>
      </c>
    </row>
    <row r="236" spans="1:6" ht="15.75">
      <c r="A236" s="255"/>
      <c r="B236" s="1873" t="s">
        <v>1948</v>
      </c>
      <c r="C236" s="1874"/>
      <c r="D236" s="1874"/>
      <c r="E236" s="1875"/>
      <c r="F236" s="1324">
        <f>SUM(F237:F253)</f>
        <v>148732.06</v>
      </c>
    </row>
    <row r="237" spans="1:6" ht="15.75">
      <c r="A237" s="255">
        <v>1</v>
      </c>
      <c r="B237" s="1253" t="s">
        <v>1949</v>
      </c>
      <c r="C237" s="147" t="s">
        <v>1950</v>
      </c>
      <c r="D237" s="147">
        <v>10</v>
      </c>
      <c r="E237" s="147">
        <v>66.77</v>
      </c>
      <c r="F237" s="1271">
        <f>ROUND(E237*D237,2)</f>
        <v>667.7</v>
      </c>
    </row>
    <row r="238" spans="1:6" ht="30">
      <c r="A238" s="255">
        <f>A237+1</f>
        <v>2</v>
      </c>
      <c r="B238" s="1254" t="s">
        <v>1951</v>
      </c>
      <c r="C238" s="147" t="s">
        <v>889</v>
      </c>
      <c r="D238" s="147">
        <v>2</v>
      </c>
      <c r="E238" s="147">
        <v>557.63</v>
      </c>
      <c r="F238" s="1271">
        <f t="shared" ref="F238:F253" si="12">ROUND(E238*D238,2)</f>
        <v>1115.26</v>
      </c>
    </row>
    <row r="239" spans="1:6" ht="15.75">
      <c r="A239" s="255">
        <f t="shared" ref="A239:A253" si="13">A238+1</f>
        <v>3</v>
      </c>
      <c r="B239" s="1253" t="s">
        <v>1952</v>
      </c>
      <c r="C239" s="147" t="s">
        <v>889</v>
      </c>
      <c r="D239" s="147">
        <v>10</v>
      </c>
      <c r="E239" s="147">
        <v>25</v>
      </c>
      <c r="F239" s="1271">
        <f t="shared" si="12"/>
        <v>250</v>
      </c>
    </row>
    <row r="240" spans="1:6" ht="15.75">
      <c r="A240" s="255">
        <f t="shared" si="13"/>
        <v>4</v>
      </c>
      <c r="B240" s="1253" t="s">
        <v>1953</v>
      </c>
      <c r="C240" s="147" t="s">
        <v>889</v>
      </c>
      <c r="D240" s="147">
        <v>10</v>
      </c>
      <c r="E240" s="147">
        <v>98</v>
      </c>
      <c r="F240" s="1271">
        <f t="shared" si="12"/>
        <v>980</v>
      </c>
    </row>
    <row r="241" spans="1:6" ht="15.75">
      <c r="A241" s="255">
        <f t="shared" si="13"/>
        <v>5</v>
      </c>
      <c r="B241" s="1253" t="s">
        <v>1954</v>
      </c>
      <c r="C241" s="147" t="s">
        <v>450</v>
      </c>
      <c r="D241" s="147">
        <v>30</v>
      </c>
      <c r="E241" s="147">
        <v>12.19</v>
      </c>
      <c r="F241" s="1271">
        <f t="shared" si="12"/>
        <v>365.7</v>
      </c>
    </row>
    <row r="242" spans="1:6" ht="15.75">
      <c r="A242" s="255">
        <f t="shared" si="13"/>
        <v>6</v>
      </c>
      <c r="B242" s="1253" t="s">
        <v>1955</v>
      </c>
      <c r="C242" s="147" t="s">
        <v>1956</v>
      </c>
      <c r="D242" s="147">
        <v>100</v>
      </c>
      <c r="E242" s="147">
        <v>26</v>
      </c>
      <c r="F242" s="1271">
        <f t="shared" si="12"/>
        <v>2600</v>
      </c>
    </row>
    <row r="243" spans="1:6" ht="15.75">
      <c r="A243" s="255">
        <f t="shared" si="13"/>
        <v>7</v>
      </c>
      <c r="B243" s="1253" t="s">
        <v>1957</v>
      </c>
      <c r="C243" s="147" t="s">
        <v>1958</v>
      </c>
      <c r="D243" s="147">
        <v>20</v>
      </c>
      <c r="E243" s="147">
        <v>16.98</v>
      </c>
      <c r="F243" s="1271">
        <f t="shared" si="12"/>
        <v>339.6</v>
      </c>
    </row>
    <row r="244" spans="1:6" ht="15.75">
      <c r="A244" s="255">
        <f t="shared" si="13"/>
        <v>8</v>
      </c>
      <c r="B244" s="1253" t="s">
        <v>1959</v>
      </c>
      <c r="C244" s="147" t="s">
        <v>1958</v>
      </c>
      <c r="D244" s="147">
        <v>20</v>
      </c>
      <c r="E244" s="147">
        <v>58.69</v>
      </c>
      <c r="F244" s="1271">
        <f t="shared" si="12"/>
        <v>1173.8</v>
      </c>
    </row>
    <row r="245" spans="1:6" ht="15.75">
      <c r="A245" s="255">
        <f t="shared" si="13"/>
        <v>9</v>
      </c>
      <c r="B245" s="1253" t="s">
        <v>1960</v>
      </c>
      <c r="C245" s="147" t="s">
        <v>1958</v>
      </c>
      <c r="D245" s="147">
        <v>624</v>
      </c>
      <c r="E245" s="147">
        <v>190</v>
      </c>
      <c r="F245" s="1271">
        <f t="shared" si="12"/>
        <v>118560</v>
      </c>
    </row>
    <row r="246" spans="1:6" ht="15.75">
      <c r="A246" s="255">
        <f t="shared" si="13"/>
        <v>10</v>
      </c>
      <c r="B246" s="1253" t="s">
        <v>1961</v>
      </c>
      <c r="C246" s="147" t="s">
        <v>1958</v>
      </c>
      <c r="D246" s="147">
        <v>20</v>
      </c>
      <c r="E246" s="147">
        <v>420</v>
      </c>
      <c r="F246" s="1271">
        <f t="shared" si="12"/>
        <v>8400</v>
      </c>
    </row>
    <row r="247" spans="1:6" ht="15.75">
      <c r="A247" s="255">
        <f t="shared" si="13"/>
        <v>11</v>
      </c>
      <c r="B247" s="1253" t="s">
        <v>1962</v>
      </c>
      <c r="C247" s="147" t="s">
        <v>1958</v>
      </c>
      <c r="D247" s="147">
        <v>20</v>
      </c>
      <c r="E247" s="147">
        <v>149</v>
      </c>
      <c r="F247" s="1271">
        <f t="shared" si="12"/>
        <v>2980</v>
      </c>
    </row>
    <row r="248" spans="1:6" ht="15.75">
      <c r="A248" s="255">
        <f t="shared" si="13"/>
        <v>12</v>
      </c>
      <c r="B248" s="1253" t="s">
        <v>1963</v>
      </c>
      <c r="C248" s="147" t="s">
        <v>1958</v>
      </c>
      <c r="D248" s="147">
        <v>10</v>
      </c>
      <c r="E248" s="147">
        <v>245</v>
      </c>
      <c r="F248" s="1271">
        <f t="shared" si="12"/>
        <v>2450</v>
      </c>
    </row>
    <row r="249" spans="1:6" ht="15.75">
      <c r="A249" s="255">
        <f t="shared" si="13"/>
        <v>13</v>
      </c>
      <c r="B249" s="1253" t="s">
        <v>1964</v>
      </c>
      <c r="C249" s="147" t="s">
        <v>1958</v>
      </c>
      <c r="D249" s="147">
        <v>10</v>
      </c>
      <c r="E249" s="147">
        <v>156</v>
      </c>
      <c r="F249" s="1271">
        <f t="shared" si="12"/>
        <v>1560</v>
      </c>
    </row>
    <row r="250" spans="1:6" ht="15.75">
      <c r="A250" s="255">
        <f t="shared" si="13"/>
        <v>14</v>
      </c>
      <c r="B250" s="1253" t="s">
        <v>1965</v>
      </c>
      <c r="C250" s="147" t="s">
        <v>1958</v>
      </c>
      <c r="D250" s="147">
        <v>10</v>
      </c>
      <c r="E250" s="147">
        <v>290</v>
      </c>
      <c r="F250" s="1271">
        <f t="shared" si="12"/>
        <v>2900</v>
      </c>
    </row>
    <row r="251" spans="1:6" ht="15.75">
      <c r="A251" s="255">
        <f t="shared" si="13"/>
        <v>15</v>
      </c>
      <c r="B251" s="1253" t="s">
        <v>1966</v>
      </c>
      <c r="C251" s="147" t="s">
        <v>1950</v>
      </c>
      <c r="D251" s="147">
        <v>10</v>
      </c>
      <c r="E251" s="147">
        <v>145</v>
      </c>
      <c r="F251" s="1271">
        <f t="shared" si="12"/>
        <v>1450</v>
      </c>
    </row>
    <row r="252" spans="1:6" ht="15.75">
      <c r="A252" s="255">
        <f t="shared" si="13"/>
        <v>16</v>
      </c>
      <c r="B252" s="1253" t="s">
        <v>1967</v>
      </c>
      <c r="C252" s="147" t="s">
        <v>1958</v>
      </c>
      <c r="D252" s="147">
        <v>10</v>
      </c>
      <c r="E252" s="147">
        <v>145</v>
      </c>
      <c r="F252" s="1271">
        <f t="shared" si="12"/>
        <v>1450</v>
      </c>
    </row>
    <row r="253" spans="1:6" ht="15.75">
      <c r="A253" s="255">
        <f t="shared" si="13"/>
        <v>17</v>
      </c>
      <c r="B253" s="1253" t="s">
        <v>716</v>
      </c>
      <c r="C253" s="147" t="s">
        <v>1958</v>
      </c>
      <c r="D253" s="147">
        <v>10</v>
      </c>
      <c r="E253" s="147">
        <v>149</v>
      </c>
      <c r="F253" s="1271">
        <f t="shared" si="12"/>
        <v>1490</v>
      </c>
    </row>
    <row r="254" spans="1:6" ht="15.75">
      <c r="A254" s="255"/>
      <c r="B254" s="1876" t="s">
        <v>717</v>
      </c>
      <c r="C254" s="1877"/>
      <c r="D254" s="1877"/>
      <c r="E254" s="1878"/>
      <c r="F254" s="1324">
        <f>SUM(F255:F261)</f>
        <v>8672</v>
      </c>
    </row>
    <row r="255" spans="1:6" ht="15.75">
      <c r="A255" s="255">
        <v>1</v>
      </c>
      <c r="B255" s="1253" t="s">
        <v>718</v>
      </c>
      <c r="C255" s="147" t="s">
        <v>889</v>
      </c>
      <c r="D255" s="147">
        <v>3</v>
      </c>
      <c r="E255" s="147">
        <v>215</v>
      </c>
      <c r="F255" s="1271">
        <f>ROUND(E255*D255,2)</f>
        <v>645</v>
      </c>
    </row>
    <row r="256" spans="1:6" ht="15.75">
      <c r="A256" s="255">
        <f t="shared" ref="A256:A261" si="14">A255+1</f>
        <v>2</v>
      </c>
      <c r="B256" s="1253" t="s">
        <v>719</v>
      </c>
      <c r="C256" s="147" t="s">
        <v>889</v>
      </c>
      <c r="D256" s="147">
        <v>9</v>
      </c>
      <c r="E256" s="147">
        <v>215</v>
      </c>
      <c r="F256" s="1271">
        <f t="shared" ref="F256:F261" si="15">ROUND(E256*D256,2)</f>
        <v>1935</v>
      </c>
    </row>
    <row r="257" spans="1:8" ht="15.75">
      <c r="A257" s="255">
        <f t="shared" si="14"/>
        <v>3</v>
      </c>
      <c r="B257" s="1253" t="s">
        <v>720</v>
      </c>
      <c r="C257" s="147" t="s">
        <v>889</v>
      </c>
      <c r="D257" s="147">
        <v>8</v>
      </c>
      <c r="E257" s="147">
        <v>120</v>
      </c>
      <c r="F257" s="1271">
        <f t="shared" si="15"/>
        <v>960</v>
      </c>
    </row>
    <row r="258" spans="1:8" ht="15.75">
      <c r="A258" s="255">
        <f t="shared" si="14"/>
        <v>4</v>
      </c>
      <c r="B258" s="1253" t="s">
        <v>721</v>
      </c>
      <c r="C258" s="147" t="s">
        <v>889</v>
      </c>
      <c r="D258" s="147">
        <v>5</v>
      </c>
      <c r="E258" s="147">
        <v>120</v>
      </c>
      <c r="F258" s="1271">
        <f t="shared" si="15"/>
        <v>600</v>
      </c>
    </row>
    <row r="259" spans="1:8" ht="15.75">
      <c r="A259" s="255">
        <f t="shared" si="14"/>
        <v>5</v>
      </c>
      <c r="B259" s="1253" t="s">
        <v>722</v>
      </c>
      <c r="C259" s="147" t="s">
        <v>889</v>
      </c>
      <c r="D259" s="147">
        <v>7</v>
      </c>
      <c r="E259" s="147">
        <v>126</v>
      </c>
      <c r="F259" s="1271">
        <f t="shared" si="15"/>
        <v>882</v>
      </c>
    </row>
    <row r="260" spans="1:8" ht="15.75">
      <c r="A260" s="255">
        <f t="shared" si="14"/>
        <v>6</v>
      </c>
      <c r="B260" s="1253" t="s">
        <v>723</v>
      </c>
      <c r="C260" s="147" t="s">
        <v>889</v>
      </c>
      <c r="D260" s="147">
        <v>15</v>
      </c>
      <c r="E260" s="147">
        <v>126</v>
      </c>
      <c r="F260" s="1271">
        <f t="shared" si="15"/>
        <v>1890</v>
      </c>
    </row>
    <row r="261" spans="1:8" ht="15.75" hidden="1">
      <c r="A261" s="255">
        <f t="shared" si="14"/>
        <v>7</v>
      </c>
      <c r="B261" s="1253" t="s">
        <v>724</v>
      </c>
      <c r="C261" s="147" t="s">
        <v>889</v>
      </c>
      <c r="D261" s="147">
        <v>200</v>
      </c>
      <c r="E261" s="147">
        <v>8.8000000000000007</v>
      </c>
      <c r="F261" s="1234">
        <f t="shared" si="15"/>
        <v>1760</v>
      </c>
    </row>
    <row r="262" spans="1:8" ht="15.75" hidden="1">
      <c r="A262" s="255"/>
      <c r="B262" s="1867" t="s">
        <v>725</v>
      </c>
      <c r="C262" s="1868"/>
      <c r="D262" s="1868"/>
      <c r="E262" s="1869"/>
      <c r="F262" s="1234"/>
    </row>
    <row r="263" spans="1:8" ht="15.75" hidden="1">
      <c r="A263" s="255"/>
      <c r="B263" s="1253"/>
      <c r="C263" s="147"/>
      <c r="D263" s="147"/>
      <c r="E263" s="147"/>
      <c r="F263" s="1234"/>
    </row>
    <row r="264" spans="1:8" ht="15.75" hidden="1">
      <c r="A264" s="255"/>
      <c r="B264" s="1253"/>
      <c r="C264" s="147"/>
      <c r="D264" s="147"/>
      <c r="E264" s="147"/>
      <c r="F264" s="1234"/>
    </row>
    <row r="265" spans="1:8" ht="15.75" hidden="1">
      <c r="A265" s="255"/>
      <c r="B265" s="1253"/>
      <c r="C265" s="147"/>
      <c r="D265" s="147"/>
      <c r="E265" s="147"/>
      <c r="F265" s="1234"/>
    </row>
    <row r="266" spans="1:8" ht="15.75" hidden="1">
      <c r="A266" s="255"/>
      <c r="B266" s="1253"/>
      <c r="C266" s="147"/>
      <c r="D266" s="147"/>
      <c r="E266" s="147"/>
      <c r="F266" s="1234"/>
    </row>
    <row r="267" spans="1:8" ht="15.75" hidden="1">
      <c r="A267" s="255"/>
      <c r="B267" s="1253"/>
      <c r="C267" s="147"/>
      <c r="D267" s="147"/>
      <c r="E267" s="147"/>
      <c r="F267" s="1234"/>
    </row>
    <row r="268" spans="1:8" ht="15.75">
      <c r="A268" s="1870" t="s">
        <v>183</v>
      </c>
      <c r="B268" s="1870"/>
      <c r="C268" s="1870"/>
      <c r="D268" s="1870"/>
      <c r="E268" s="1870"/>
      <c r="F268" s="248">
        <f>F7+F34+F53+F89+F120+F158+F183+F197+F214+F219+F222+F229+F236+F254</f>
        <v>799839.73</v>
      </c>
    </row>
    <row r="269" spans="1:8" s="207" customFormat="1" ht="15.75">
      <c r="A269" s="515"/>
      <c r="B269" s="515"/>
      <c r="C269" s="515"/>
      <c r="D269" s="515"/>
      <c r="E269" s="515"/>
      <c r="F269" s="520"/>
      <c r="G269" s="511"/>
      <c r="H269" s="311"/>
    </row>
    <row r="270" spans="1:8" s="207" customFormat="1" ht="15.75">
      <c r="B270" s="506" t="s">
        <v>1077</v>
      </c>
      <c r="C270" s="507"/>
      <c r="D270" s="311"/>
      <c r="E270" s="311"/>
      <c r="F270" s="507" t="s">
        <v>1040</v>
      </c>
      <c r="G270" s="511"/>
      <c r="H270" s="511"/>
    </row>
    <row r="271" spans="1:8" s="207" customFormat="1" ht="31.5">
      <c r="B271" s="221"/>
      <c r="C271" s="1252" t="s">
        <v>1078</v>
      </c>
      <c r="D271" s="217"/>
      <c r="E271" s="217"/>
      <c r="F271" s="1252" t="s">
        <v>1079</v>
      </c>
      <c r="G271" s="510"/>
      <c r="H271" s="311"/>
    </row>
    <row r="272" spans="1:8" s="207" customFormat="1" ht="15.75">
      <c r="B272" s="514" t="s">
        <v>1076</v>
      </c>
      <c r="C272" s="507"/>
      <c r="D272" s="311"/>
      <c r="E272" s="311"/>
      <c r="F272" s="507" t="s">
        <v>1245</v>
      </c>
      <c r="G272" s="511"/>
      <c r="H272" s="511"/>
    </row>
    <row r="273" spans="1:6" ht="31.5">
      <c r="A273" s="207"/>
      <c r="B273" s="221"/>
      <c r="C273" s="217" t="s">
        <v>1078</v>
      </c>
      <c r="D273" s="217"/>
      <c r="E273" s="217"/>
      <c r="F273" s="510" t="s">
        <v>1079</v>
      </c>
    </row>
    <row r="274" spans="1:6" s="27" customFormat="1">
      <c r="A274" s="26"/>
      <c r="B274" s="26"/>
      <c r="C274" s="72"/>
      <c r="D274" s="72"/>
      <c r="E274" s="72"/>
      <c r="F274" s="72"/>
    </row>
    <row r="275" spans="1:6">
      <c r="A275" s="27"/>
      <c r="B275" s="27"/>
      <c r="C275" s="73"/>
      <c r="D275" s="27"/>
      <c r="E275" s="27"/>
      <c r="F275" s="27"/>
    </row>
  </sheetData>
  <mergeCells count="19">
    <mergeCell ref="B53:E53"/>
    <mergeCell ref="B120:E120"/>
    <mergeCell ref="B158:E158"/>
    <mergeCell ref="B183:E183"/>
    <mergeCell ref="B197:E197"/>
    <mergeCell ref="B89:E89"/>
    <mergeCell ref="B2:F2"/>
    <mergeCell ref="A3:F3"/>
    <mergeCell ref="A4:F4"/>
    <mergeCell ref="A7:E7"/>
    <mergeCell ref="A34:E34"/>
    <mergeCell ref="B262:E262"/>
    <mergeCell ref="B214:E214"/>
    <mergeCell ref="A268:E268"/>
    <mergeCell ref="B219:E219"/>
    <mergeCell ref="B222:E222"/>
    <mergeCell ref="B229:E229"/>
    <mergeCell ref="B236:E236"/>
    <mergeCell ref="B254:E254"/>
  </mergeCells>
  <phoneticPr fontId="116" type="noConversion"/>
  <pageMargins left="0.7" right="0.7" top="0.75" bottom="0.75" header="0.3" footer="0.3"/>
  <pageSetup paperSize="9" scale="93" orientation="portrait" horizontalDpi="300" verticalDpi="300" r:id="rId1"/>
  <colBreaks count="1" manualBreakCount="1">
    <brk id="6" max="239" man="1"/>
  </colBreaks>
</worksheet>
</file>

<file path=xl/worksheets/sheet4.xml><?xml version="1.0" encoding="utf-8"?>
<worksheet xmlns="http://schemas.openxmlformats.org/spreadsheetml/2006/main" xmlns:r="http://schemas.openxmlformats.org/officeDocument/2006/relationships">
  <sheetPr codeName="Лист54">
    <tabColor theme="0" tint="-0.499984740745262"/>
  </sheetPr>
  <dimension ref="A1:J558"/>
  <sheetViews>
    <sheetView view="pageBreakPreview" topLeftCell="A7" zoomScale="70" zoomScaleNormal="80" zoomScaleSheetLayoutView="70" workbookViewId="0">
      <selection activeCell="D5" sqref="D5"/>
    </sheetView>
  </sheetViews>
  <sheetFormatPr defaultRowHeight="15"/>
  <cols>
    <col min="1" max="1" width="25" style="120" customWidth="1"/>
    <col min="2" max="2" width="26.140625" style="120" customWidth="1"/>
    <col min="3" max="3" width="6.28515625" style="120" customWidth="1"/>
    <col min="4" max="4" width="15" style="120" customWidth="1"/>
    <col min="5" max="5" width="14.28515625" style="120" customWidth="1"/>
    <col min="6" max="6" width="14" style="150" customWidth="1"/>
    <col min="7" max="7" width="12.42578125" style="120" customWidth="1"/>
    <col min="8" max="8" width="12.7109375" style="120" customWidth="1"/>
    <col min="9" max="9" width="12.5703125" style="120" customWidth="1"/>
    <col min="10" max="10" width="13.85546875" style="120" customWidth="1"/>
    <col min="11" max="16384" width="9.140625" style="120"/>
  </cols>
  <sheetData>
    <row r="1" spans="1:10" ht="25.5" customHeight="1">
      <c r="A1" s="1468"/>
      <c r="B1" s="1468"/>
      <c r="C1" s="123"/>
      <c r="D1" s="121"/>
      <c r="E1" s="121"/>
      <c r="F1" s="122"/>
      <c r="G1" s="1468" t="s">
        <v>1845</v>
      </c>
      <c r="H1" s="1468"/>
      <c r="I1" s="1468"/>
      <c r="J1" s="1468"/>
    </row>
    <row r="2" spans="1:10" ht="25.5" customHeight="1">
      <c r="A2" s="127"/>
      <c r="B2" s="127"/>
      <c r="C2" s="123"/>
      <c r="D2" s="121"/>
      <c r="E2" s="121"/>
      <c r="F2" s="122"/>
      <c r="G2" s="1481"/>
      <c r="H2" s="1481"/>
      <c r="I2" s="1481"/>
      <c r="J2" s="1481"/>
    </row>
    <row r="3" spans="1:10" ht="39" customHeight="1">
      <c r="A3" s="1468"/>
      <c r="B3" s="1468"/>
      <c r="C3" s="123"/>
      <c r="D3" s="121"/>
      <c r="E3" s="121"/>
      <c r="F3" s="122"/>
      <c r="G3" s="1482" t="s">
        <v>1894</v>
      </c>
      <c r="H3" s="1482"/>
      <c r="I3" s="1482"/>
      <c r="J3" s="1482"/>
    </row>
    <row r="4" spans="1:10" ht="33.75" customHeight="1">
      <c r="A4" s="1468"/>
      <c r="B4" s="1468"/>
      <c r="C4" s="123"/>
      <c r="D4" s="121"/>
      <c r="E4" s="121"/>
      <c r="F4" s="122"/>
      <c r="G4" s="1473" t="s">
        <v>694</v>
      </c>
      <c r="H4" s="1473"/>
      <c r="I4" s="1473"/>
      <c r="J4" s="1473"/>
    </row>
    <row r="5" spans="1:10" ht="31.5" customHeight="1">
      <c r="A5" s="133"/>
      <c r="B5" s="133"/>
      <c r="C5" s="125"/>
      <c r="D5" s="121"/>
      <c r="E5" s="121"/>
      <c r="F5" s="122"/>
      <c r="G5" s="126"/>
      <c r="H5" s="126"/>
      <c r="I5" s="1483"/>
      <c r="J5" s="1483"/>
    </row>
    <row r="6" spans="1:10" ht="26.25" customHeight="1">
      <c r="A6" s="127"/>
      <c r="B6" s="127"/>
      <c r="C6" s="129"/>
      <c r="D6" s="121"/>
      <c r="E6" s="121"/>
      <c r="F6" s="122"/>
      <c r="G6" s="130" t="s">
        <v>1846</v>
      </c>
      <c r="H6" s="131"/>
      <c r="I6" s="1468" t="s">
        <v>1847</v>
      </c>
      <c r="J6" s="1468"/>
    </row>
    <row r="7" spans="1:10" ht="26.25" customHeight="1">
      <c r="A7" s="1480"/>
      <c r="B7" s="1480"/>
      <c r="C7" s="123"/>
      <c r="D7" s="121"/>
      <c r="E7" s="121"/>
      <c r="F7" s="122"/>
      <c r="G7" s="1478" t="s">
        <v>1897</v>
      </c>
      <c r="H7" s="1478"/>
      <c r="I7" s="1478"/>
      <c r="J7" s="1478"/>
    </row>
    <row r="8" spans="1:10" ht="18.75" customHeight="1">
      <c r="A8" s="132"/>
      <c r="B8" s="132"/>
      <c r="C8" s="123"/>
      <c r="D8" s="121"/>
      <c r="E8" s="121"/>
      <c r="F8" s="122"/>
      <c r="G8" s="132"/>
      <c r="H8" s="132"/>
      <c r="I8" s="132"/>
      <c r="J8" s="132"/>
    </row>
    <row r="9" spans="1:10" ht="17.25" customHeight="1">
      <c r="A9" s="133"/>
      <c r="B9" s="134"/>
      <c r="C9" s="135"/>
      <c r="D9" s="121"/>
      <c r="E9" s="121"/>
      <c r="F9" s="122"/>
      <c r="G9" s="123"/>
      <c r="H9" s="123"/>
      <c r="I9" s="123"/>
      <c r="J9" s="123"/>
    </row>
    <row r="10" spans="1:10" ht="18.75" customHeight="1">
      <c r="A10" s="136"/>
      <c r="B10" s="137"/>
      <c r="C10" s="138"/>
      <c r="D10" s="121"/>
      <c r="E10" s="121"/>
      <c r="F10" s="122"/>
      <c r="G10" s="123"/>
      <c r="H10" s="123"/>
      <c r="I10" s="123"/>
      <c r="J10" s="123"/>
    </row>
    <row r="11" spans="1:10" ht="21" customHeight="1">
      <c r="A11" s="139"/>
      <c r="B11" s="137"/>
      <c r="C11" s="121"/>
      <c r="D11" s="121"/>
      <c r="E11" s="121"/>
      <c r="F11" s="122"/>
      <c r="G11" s="123"/>
      <c r="H11" s="123"/>
      <c r="I11" s="123"/>
      <c r="J11" s="123"/>
    </row>
    <row r="12" spans="1:10" ht="42.75" customHeight="1">
      <c r="A12" s="1463"/>
      <c r="B12" s="1463"/>
      <c r="C12" s="140"/>
      <c r="D12" s="121"/>
      <c r="E12" s="121"/>
      <c r="F12" s="122"/>
      <c r="G12" s="123"/>
      <c r="H12" s="123"/>
      <c r="I12" s="123"/>
      <c r="J12" s="123"/>
    </row>
    <row r="13" spans="1:10" ht="15.75" customHeight="1">
      <c r="A13" s="123"/>
      <c r="B13" s="123"/>
      <c r="C13" s="140"/>
      <c r="D13" s="121"/>
      <c r="E13" s="121"/>
      <c r="F13" s="122"/>
      <c r="G13" s="123"/>
      <c r="H13" s="123"/>
      <c r="I13" s="123"/>
      <c r="J13" s="123"/>
    </row>
    <row r="14" spans="1:10" ht="17.25" customHeight="1">
      <c r="A14" s="125"/>
      <c r="B14" s="135"/>
      <c r="C14" s="135"/>
      <c r="D14" s="121"/>
      <c r="E14" s="121"/>
      <c r="F14" s="122"/>
      <c r="G14" s="123"/>
      <c r="H14" s="123"/>
      <c r="I14" s="123"/>
      <c r="J14" s="123"/>
    </row>
    <row r="15" spans="1:10" ht="15" customHeight="1">
      <c r="A15" s="136"/>
      <c r="B15" s="136"/>
      <c r="C15" s="138"/>
      <c r="D15" s="121"/>
      <c r="E15" s="121"/>
      <c r="F15" s="122"/>
      <c r="G15" s="123"/>
      <c r="H15" s="123"/>
      <c r="I15" s="123"/>
      <c r="J15" s="123"/>
    </row>
    <row r="16" spans="1:10" ht="23.25" customHeight="1">
      <c r="A16" s="121"/>
      <c r="B16" s="121"/>
      <c r="C16" s="138"/>
      <c r="D16" s="138"/>
      <c r="E16" s="138"/>
      <c r="F16" s="122"/>
      <c r="G16" s="123"/>
      <c r="H16" s="123"/>
      <c r="I16" s="123"/>
      <c r="J16" s="123"/>
    </row>
    <row r="17" spans="1:10" ht="18.75">
      <c r="A17" s="121"/>
      <c r="B17" s="121"/>
      <c r="C17" s="141"/>
      <c r="D17" s="141"/>
      <c r="E17" s="141"/>
      <c r="F17" s="122"/>
      <c r="G17" s="121"/>
      <c r="H17" s="121"/>
      <c r="I17" s="121"/>
      <c r="J17" s="121"/>
    </row>
    <row r="18" spans="1:10" ht="18.75" customHeight="1">
      <c r="A18" s="1475" t="s">
        <v>1009</v>
      </c>
      <c r="B18" s="1475"/>
      <c r="C18" s="1475"/>
      <c r="D18" s="1475"/>
      <c r="E18" s="1475"/>
      <c r="F18" s="1475"/>
      <c r="G18" s="1475"/>
      <c r="H18" s="1475"/>
      <c r="I18" s="1475"/>
      <c r="J18" s="1475"/>
    </row>
    <row r="19" spans="1:10" ht="18.75" customHeight="1">
      <c r="A19" s="1475" t="s">
        <v>948</v>
      </c>
      <c r="B19" s="1475"/>
      <c r="C19" s="1475"/>
      <c r="D19" s="1475"/>
      <c r="E19" s="1475"/>
      <c r="F19" s="1475"/>
      <c r="G19" s="1475"/>
      <c r="H19" s="1475"/>
      <c r="I19" s="1475"/>
      <c r="J19" s="1475"/>
    </row>
    <row r="20" spans="1:10" ht="18.75">
      <c r="A20" s="121"/>
      <c r="B20" s="121"/>
      <c r="C20" s="1475" t="s">
        <v>949</v>
      </c>
      <c r="D20" s="1475"/>
      <c r="E20" s="1475"/>
      <c r="F20" s="1475"/>
      <c r="G20" s="142"/>
      <c r="H20" s="142"/>
      <c r="I20" s="143"/>
      <c r="J20" s="130" t="s">
        <v>1852</v>
      </c>
    </row>
    <row r="21" spans="1:10" ht="15.75" customHeight="1">
      <c r="A21" s="121"/>
      <c r="B21" s="121"/>
      <c r="C21" s="142"/>
      <c r="D21" s="142"/>
      <c r="E21" s="142"/>
      <c r="F21" s="142"/>
      <c r="G21" s="142"/>
      <c r="H21" s="142"/>
      <c r="I21" s="139" t="s">
        <v>1898</v>
      </c>
      <c r="J21" s="144"/>
    </row>
    <row r="22" spans="1:10" ht="18" customHeight="1">
      <c r="A22" s="121"/>
      <c r="B22" s="121"/>
      <c r="C22" s="1479" t="s">
        <v>1899</v>
      </c>
      <c r="D22" s="1479"/>
      <c r="E22" s="1479"/>
      <c r="F22" s="1479"/>
      <c r="G22" s="142"/>
      <c r="H22" s="142"/>
      <c r="I22" s="139" t="s">
        <v>1856</v>
      </c>
      <c r="J22" s="144"/>
    </row>
    <row r="23" spans="1:10" ht="15.75" customHeight="1">
      <c r="A23" s="121"/>
      <c r="B23" s="121"/>
      <c r="C23" s="142"/>
      <c r="D23" s="142"/>
      <c r="E23" s="142"/>
      <c r="F23" s="142"/>
      <c r="G23" s="142"/>
      <c r="H23" s="142"/>
      <c r="I23" s="139"/>
      <c r="J23" s="144"/>
    </row>
    <row r="24" spans="1:10" ht="18.75">
      <c r="A24" s="121"/>
      <c r="B24" s="121"/>
      <c r="C24" s="121"/>
      <c r="D24" s="121"/>
      <c r="E24" s="121"/>
      <c r="F24" s="122"/>
      <c r="G24" s="121"/>
      <c r="H24" s="121"/>
      <c r="I24" s="139"/>
      <c r="J24" s="144"/>
    </row>
    <row r="25" spans="1:10" ht="23.25" customHeight="1">
      <c r="A25" s="1463" t="s">
        <v>695</v>
      </c>
      <c r="B25" s="1463"/>
      <c r="C25" s="1463"/>
      <c r="D25" s="121"/>
      <c r="E25" s="121"/>
      <c r="F25" s="141"/>
      <c r="G25" s="141"/>
      <c r="H25" s="141"/>
      <c r="I25" s="139" t="s">
        <v>1858</v>
      </c>
      <c r="J25" s="144"/>
    </row>
    <row r="26" spans="1:10" ht="18" customHeight="1">
      <c r="A26" s="1463"/>
      <c r="B26" s="1463"/>
      <c r="C26" s="1463"/>
      <c r="D26" s="121"/>
      <c r="E26" s="121"/>
      <c r="F26" s="141"/>
      <c r="G26" s="141"/>
      <c r="H26" s="141"/>
      <c r="I26" s="139"/>
      <c r="J26" s="145"/>
    </row>
    <row r="27" spans="1:10" ht="16.7" customHeight="1">
      <c r="A27" s="1463"/>
      <c r="B27" s="1463"/>
      <c r="C27" s="1463"/>
      <c r="D27" s="121"/>
      <c r="E27" s="121"/>
      <c r="F27" s="141"/>
      <c r="G27" s="141"/>
      <c r="H27" s="141"/>
      <c r="I27" s="139"/>
      <c r="J27" s="145"/>
    </row>
    <row r="28" spans="1:10" ht="15" customHeight="1">
      <c r="A28" s="1463"/>
      <c r="B28" s="1463"/>
      <c r="C28" s="1463"/>
      <c r="D28" s="121"/>
      <c r="E28" s="121"/>
      <c r="F28" s="141"/>
      <c r="G28" s="141"/>
      <c r="H28" s="141"/>
      <c r="I28" s="146"/>
      <c r="J28" s="145"/>
    </row>
    <row r="29" spans="1:10" ht="15" customHeight="1">
      <c r="A29" s="1463" t="s">
        <v>1901</v>
      </c>
      <c r="B29" s="1463"/>
      <c r="C29" s="1463"/>
      <c r="D29" s="121"/>
      <c r="E29" s="121"/>
      <c r="F29" s="141"/>
      <c r="G29" s="141"/>
      <c r="H29" s="141"/>
      <c r="I29" s="139"/>
      <c r="J29" s="147"/>
    </row>
    <row r="30" spans="1:10" ht="19.5" customHeight="1">
      <c r="A30" s="1463"/>
      <c r="B30" s="1463"/>
      <c r="C30" s="1463"/>
      <c r="D30" s="121"/>
      <c r="E30" s="121"/>
      <c r="F30" s="141"/>
      <c r="G30" s="141"/>
      <c r="H30" s="141"/>
      <c r="I30" s="148" t="s">
        <v>1868</v>
      </c>
      <c r="J30" s="144">
        <v>383</v>
      </c>
    </row>
    <row r="31" spans="1:10" ht="31.5" customHeight="1">
      <c r="A31" s="1463"/>
      <c r="B31" s="1463"/>
      <c r="C31" s="1463"/>
      <c r="D31" s="121"/>
      <c r="E31" s="121"/>
      <c r="F31" s="141"/>
      <c r="G31" s="141"/>
      <c r="H31" s="141"/>
      <c r="I31" s="141"/>
      <c r="J31" s="141"/>
    </row>
    <row r="32" spans="1:10" ht="15" customHeight="1">
      <c r="A32" s="139"/>
      <c r="B32" s="139"/>
      <c r="C32" s="139"/>
      <c r="D32" s="121"/>
      <c r="E32" s="121"/>
      <c r="F32" s="141"/>
      <c r="G32" s="141"/>
      <c r="H32" s="141"/>
      <c r="I32" s="141"/>
      <c r="J32" s="141"/>
    </row>
    <row r="33" spans="1:10" ht="15" customHeight="1">
      <c r="A33" s="139"/>
      <c r="B33" s="139"/>
      <c r="C33" s="132"/>
      <c r="D33" s="123"/>
      <c r="E33" s="123"/>
      <c r="F33" s="141"/>
      <c r="G33" s="141"/>
      <c r="H33" s="141"/>
      <c r="I33" s="141"/>
      <c r="J33" s="141"/>
    </row>
    <row r="34" spans="1:10" ht="22.5" customHeight="1">
      <c r="A34" s="1463" t="s">
        <v>1859</v>
      </c>
      <c r="B34" s="1463"/>
      <c r="C34" s="1463"/>
      <c r="D34" s="123"/>
      <c r="E34" s="121"/>
      <c r="F34" s="141"/>
      <c r="G34" s="141"/>
      <c r="H34" s="141"/>
      <c r="I34" s="129"/>
      <c r="J34" s="141"/>
    </row>
    <row r="35" spans="1:10" ht="17.25" customHeight="1">
      <c r="A35" s="139"/>
      <c r="B35" s="139"/>
      <c r="C35" s="139"/>
      <c r="D35" s="121"/>
      <c r="E35" s="121"/>
      <c r="F35" s="129"/>
      <c r="G35" s="129"/>
      <c r="H35" s="129"/>
      <c r="I35" s="141"/>
      <c r="J35" s="141"/>
    </row>
    <row r="36" spans="1:10" ht="21" customHeight="1">
      <c r="A36" s="1463" t="s">
        <v>1902</v>
      </c>
      <c r="B36" s="1463"/>
      <c r="C36" s="1463"/>
      <c r="D36" s="121"/>
      <c r="E36" s="121"/>
      <c r="F36" s="141"/>
      <c r="G36" s="141"/>
      <c r="H36" s="141"/>
      <c r="I36" s="121"/>
      <c r="J36" s="141"/>
    </row>
    <row r="37" spans="1:10" ht="18" customHeight="1">
      <c r="A37" s="1463"/>
      <c r="B37" s="1463"/>
      <c r="C37" s="1463"/>
      <c r="D37" s="121"/>
      <c r="E37" s="121"/>
      <c r="F37" s="141"/>
      <c r="G37" s="141"/>
      <c r="H37" s="141"/>
      <c r="I37" s="121"/>
      <c r="J37" s="141"/>
    </row>
    <row r="38" spans="1:10" ht="14.25" customHeight="1">
      <c r="A38" s="1463"/>
      <c r="B38" s="1463"/>
      <c r="C38" s="1463"/>
      <c r="D38" s="121"/>
      <c r="E38" s="121"/>
      <c r="F38" s="141"/>
      <c r="G38" s="141"/>
      <c r="H38" s="141"/>
      <c r="I38" s="121"/>
      <c r="J38" s="141"/>
    </row>
    <row r="39" spans="1:10" ht="17.25" customHeight="1">
      <c r="A39" s="139"/>
      <c r="B39" s="139"/>
      <c r="C39" s="139"/>
      <c r="D39" s="121"/>
      <c r="E39" s="121"/>
      <c r="F39" s="141"/>
      <c r="G39" s="141"/>
      <c r="H39" s="141"/>
      <c r="I39" s="141"/>
      <c r="J39" s="141"/>
    </row>
    <row r="40" spans="1:10" ht="18.75" customHeight="1">
      <c r="A40" s="1463" t="s">
        <v>696</v>
      </c>
      <c r="B40" s="1463"/>
      <c r="C40" s="1463"/>
      <c r="D40" s="121"/>
      <c r="E40" s="121"/>
      <c r="F40" s="141"/>
      <c r="G40" s="141"/>
      <c r="H40" s="141"/>
      <c r="I40" s="141"/>
      <c r="J40" s="141"/>
    </row>
    <row r="41" spans="1:10" ht="12" customHeight="1">
      <c r="A41" s="1463"/>
      <c r="B41" s="1463"/>
      <c r="C41" s="1463"/>
      <c r="D41" s="121"/>
      <c r="E41" s="121"/>
      <c r="F41" s="141"/>
      <c r="G41" s="141"/>
      <c r="H41" s="141"/>
      <c r="I41" s="141"/>
      <c r="J41" s="141"/>
    </row>
    <row r="42" spans="1:10" ht="15" customHeight="1">
      <c r="A42" s="1463"/>
      <c r="B42" s="1463"/>
      <c r="C42" s="1463"/>
      <c r="D42" s="121"/>
      <c r="E42" s="121"/>
      <c r="F42" s="141"/>
      <c r="G42" s="141"/>
      <c r="H42" s="141"/>
      <c r="I42" s="141"/>
      <c r="J42" s="141"/>
    </row>
    <row r="43" spans="1:10" ht="12" customHeight="1">
      <c r="A43" s="139"/>
      <c r="B43" s="139"/>
      <c r="C43" s="139"/>
      <c r="D43" s="121"/>
      <c r="E43" s="121"/>
      <c r="F43" s="141"/>
      <c r="G43" s="141"/>
      <c r="H43" s="141"/>
      <c r="I43" s="141"/>
      <c r="J43" s="142"/>
    </row>
    <row r="44" spans="1:10" ht="12" customHeight="1">
      <c r="A44" s="1463" t="s">
        <v>1589</v>
      </c>
      <c r="B44" s="1463"/>
      <c r="C44" s="1463"/>
      <c r="D44" s="121"/>
      <c r="E44" s="121"/>
      <c r="F44" s="141"/>
      <c r="G44" s="141"/>
      <c r="H44" s="141"/>
      <c r="I44" s="141"/>
      <c r="J44" s="149"/>
    </row>
    <row r="45" spans="1:10" ht="12" customHeight="1">
      <c r="A45" s="1463"/>
      <c r="B45" s="1463"/>
      <c r="C45" s="1463"/>
      <c r="D45" s="121"/>
      <c r="E45" s="123"/>
      <c r="F45" s="141"/>
      <c r="G45" s="141"/>
      <c r="H45" s="141"/>
      <c r="I45" s="141"/>
      <c r="J45" s="123"/>
    </row>
    <row r="46" spans="1:10" ht="12" customHeight="1">
      <c r="A46" s="121"/>
      <c r="B46" s="121"/>
      <c r="C46" s="123"/>
      <c r="D46" s="123"/>
      <c r="E46" s="123"/>
      <c r="F46" s="141"/>
      <c r="G46" s="141"/>
      <c r="H46" s="141"/>
      <c r="I46" s="141"/>
      <c r="J46" s="123"/>
    </row>
    <row r="47" spans="1:10" ht="12" customHeight="1">
      <c r="A47" s="121"/>
      <c r="B47" s="121"/>
      <c r="C47" s="123"/>
      <c r="D47" s="123"/>
      <c r="E47" s="123"/>
      <c r="F47" s="141"/>
      <c r="G47" s="141"/>
      <c r="H47" s="141"/>
      <c r="I47" s="141"/>
      <c r="J47" s="123"/>
    </row>
    <row r="48" spans="1:10" ht="22.5" customHeight="1"/>
    <row r="49" ht="24.75" customHeight="1"/>
    <row r="50" ht="18" customHeight="1"/>
    <row r="51" ht="13.5" customHeight="1"/>
    <row r="52" ht="20.45" customHeight="1"/>
    <row r="53" ht="13.15" customHeight="1"/>
    <row r="54" ht="13.15" customHeight="1"/>
    <row r="55" ht="55.5" customHeight="1"/>
    <row r="56" ht="18.75" customHeight="1"/>
    <row r="57" ht="36.75" customHeight="1"/>
    <row r="58" ht="12" customHeight="1"/>
    <row r="59" ht="53.25" customHeight="1"/>
    <row r="60" ht="15" customHeight="1"/>
    <row r="61" ht="51.75" customHeight="1"/>
    <row r="62" ht="15" customHeight="1"/>
    <row r="63" ht="52.7" customHeight="1"/>
    <row r="64" ht="15" customHeight="1"/>
    <row r="65" ht="33" customHeight="1"/>
    <row r="66" ht="15.75" customHeight="1"/>
    <row r="67" ht="40.5" customHeight="1"/>
    <row r="68" ht="15" customHeight="1"/>
    <row r="69" ht="15" customHeight="1"/>
    <row r="70" ht="15" customHeight="1"/>
    <row r="71" ht="15" customHeight="1"/>
    <row r="72" ht="61.5" customHeight="1"/>
    <row r="73" ht="15" customHeight="1"/>
    <row r="74" ht="15" customHeight="1"/>
    <row r="75" ht="17.25" customHeight="1"/>
    <row r="76" ht="15" customHeight="1"/>
    <row r="77" ht="30" customHeight="1"/>
    <row r="78" ht="15" customHeight="1"/>
    <row r="79" ht="45.75" customHeight="1"/>
    <row r="80" ht="50.25" customHeight="1"/>
    <row r="81" ht="49.5" customHeight="1"/>
    <row r="82" ht="15" customHeight="1"/>
    <row r="83" ht="15" customHeight="1"/>
    <row r="84" ht="15" customHeight="1"/>
    <row r="85" ht="30" customHeight="1"/>
    <row r="86" ht="15" customHeight="1"/>
    <row r="87" ht="15" customHeight="1"/>
    <row r="88" ht="15" customHeight="1"/>
    <row r="89" ht="15" customHeight="1"/>
    <row r="90" ht="32.25" customHeight="1"/>
    <row r="91" ht="30"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30" customHeight="1"/>
    <row r="104" ht="15" customHeight="1"/>
    <row r="105" ht="15" customHeight="1"/>
    <row r="106" ht="15" customHeight="1"/>
    <row r="107" ht="15" customHeight="1"/>
    <row r="108" ht="30" customHeight="1"/>
    <row r="109" ht="30" customHeight="1"/>
    <row r="110" ht="15" customHeight="1"/>
    <row r="111" ht="30" customHeight="1"/>
    <row r="112" ht="30" customHeight="1"/>
    <row r="113" ht="30" customHeight="1"/>
    <row r="114" ht="15" customHeight="1"/>
    <row r="115" ht="30" customHeight="1"/>
    <row r="116" ht="15" customHeight="1"/>
    <row r="117" ht="15" customHeight="1"/>
    <row r="118" ht="15" customHeight="1"/>
    <row r="119" ht="15" customHeight="1"/>
    <row r="120" ht="30" customHeight="1"/>
    <row r="121" ht="15" customHeight="1"/>
    <row r="122" ht="15" customHeight="1"/>
    <row r="123" ht="15" customHeight="1"/>
    <row r="124" ht="15" customHeight="1"/>
    <row r="125" ht="15" customHeight="1"/>
    <row r="126" ht="30" customHeight="1"/>
    <row r="127" ht="15" customHeight="1"/>
    <row r="128" ht="15" customHeight="1"/>
    <row r="129" ht="15" customHeight="1"/>
    <row r="130" ht="15" customHeight="1"/>
    <row r="131" ht="15" customHeight="1"/>
    <row r="132" ht="15" customHeight="1"/>
    <row r="133" ht="15" customHeight="1"/>
    <row r="134" ht="30" customHeight="1"/>
    <row r="135" ht="30" customHeight="1"/>
    <row r="136" ht="15" customHeight="1"/>
    <row r="137" ht="15" customHeight="1"/>
    <row r="138" ht="30" customHeight="1"/>
    <row r="139" ht="26.25" customHeight="1"/>
    <row r="140" ht="15" customHeight="1"/>
    <row r="141" ht="15" customHeight="1"/>
    <row r="142" ht="30" customHeight="1"/>
    <row r="143" ht="15" customHeight="1"/>
    <row r="144" ht="15" customHeight="1"/>
    <row r="145" ht="15" customHeight="1"/>
    <row r="146" ht="15" customHeight="1"/>
    <row r="147" ht="15" customHeight="1"/>
    <row r="148" ht="15" customHeight="1"/>
    <row r="149" ht="15" customHeight="1"/>
    <row r="150" ht="15" customHeight="1"/>
    <row r="151" ht="15" customHeight="1"/>
    <row r="152" ht="30"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30"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27.75" customHeight="1"/>
    <row r="182" s="151" customFormat="1" ht="14.25" customHeight="1"/>
    <row r="183" s="151" customFormat="1" ht="14.25" customHeight="1"/>
    <row r="184" s="151" customFormat="1" ht="14.25" customHeight="1"/>
    <row r="185" s="151" customFormat="1" ht="14.25" customHeight="1"/>
    <row r="186" ht="34.700000000000003" customHeight="1"/>
    <row r="187" ht="15.75" customHeight="1"/>
    <row r="188" ht="23.25" customHeight="1"/>
    <row r="189" ht="159" customHeight="1"/>
    <row r="190" ht="49.5" customHeight="1"/>
    <row r="191" ht="18" customHeight="1"/>
    <row r="192" s="152" customFormat="1" ht="30" customHeight="1"/>
    <row r="193" s="152" customFormat="1" ht="30" customHeight="1"/>
    <row r="194" s="152" customFormat="1" ht="30" customHeight="1"/>
    <row r="195" s="152" customFormat="1" ht="30" customHeight="1"/>
    <row r="196" s="152" customFormat="1" ht="30" customHeight="1"/>
    <row r="197" s="152" customFormat="1" ht="30" customHeight="1"/>
    <row r="198" s="152" customFormat="1" ht="30" customHeight="1"/>
    <row r="199" s="152" customFormat="1" ht="30" customHeight="1"/>
    <row r="200" s="152" customFormat="1" ht="30" customHeight="1"/>
    <row r="201" s="152" customFormat="1" ht="30" customHeight="1"/>
    <row r="202" s="152" customFormat="1" ht="30" customHeight="1"/>
    <row r="203" s="152" customFormat="1" ht="30" customHeight="1"/>
    <row r="204" s="152" customFormat="1" ht="30" customHeight="1"/>
    <row r="205" s="152" customFormat="1" ht="30" customHeight="1"/>
    <row r="206" s="152" customFormat="1" ht="30" customHeight="1"/>
    <row r="207" s="152" customFormat="1" ht="30" customHeight="1"/>
    <row r="208" s="152" customFormat="1" ht="30" customHeight="1"/>
    <row r="209" s="152" customFormat="1" ht="30" customHeight="1"/>
    <row r="210" s="152" customFormat="1" ht="30" customHeight="1"/>
    <row r="211" s="152" customFormat="1" ht="30" customHeight="1"/>
    <row r="212" s="152" customFormat="1" ht="30" customHeight="1"/>
    <row r="213" s="152" customFormat="1" ht="30" customHeight="1"/>
    <row r="214" s="152" customFormat="1" ht="30" customHeight="1"/>
    <row r="215" s="152" customFormat="1" ht="30" customHeight="1"/>
    <row r="216" s="152" customFormat="1" ht="30" customHeight="1"/>
    <row r="217" s="152" customFormat="1" ht="30" customHeight="1"/>
    <row r="218" s="152" customFormat="1" ht="30" customHeight="1"/>
    <row r="219" s="152" customFormat="1" ht="30" customHeight="1"/>
    <row r="220" s="152" customFormat="1" ht="30" customHeight="1"/>
    <row r="221" s="152" customFormat="1" ht="30" customHeight="1"/>
    <row r="222" s="152" customFormat="1" ht="30" customHeight="1"/>
    <row r="223" s="152" customFormat="1" ht="30" customHeight="1"/>
    <row r="224" s="152" customFormat="1" ht="30" customHeight="1"/>
    <row r="225" s="152" customFormat="1" ht="30" customHeight="1"/>
    <row r="226" s="152" customFormat="1" ht="30" customHeight="1"/>
    <row r="227" s="152" customFormat="1" ht="30" customHeight="1"/>
    <row r="228" s="152" customFormat="1" ht="30" customHeight="1"/>
    <row r="229" s="152" customFormat="1" ht="30" customHeight="1"/>
    <row r="230" s="152" customFormat="1" ht="30" customHeight="1"/>
    <row r="231" s="152" customFormat="1" ht="30" customHeight="1"/>
    <row r="232" s="152" customFormat="1" ht="30" customHeight="1"/>
    <row r="233" s="152" customFormat="1" ht="30" customHeight="1"/>
    <row r="234" s="152" customFormat="1" ht="30" customHeight="1"/>
    <row r="235" s="152" customFormat="1" ht="30" customHeight="1"/>
    <row r="236" s="152" customFormat="1" ht="30" customHeight="1"/>
    <row r="237" s="152" customFormat="1" ht="30" customHeight="1"/>
    <row r="238" s="152" customFormat="1" ht="30" customHeight="1"/>
    <row r="239" s="152" customFormat="1" ht="30" customHeight="1"/>
    <row r="240" s="152" customFormat="1" ht="30" customHeight="1"/>
    <row r="241" s="152" customFormat="1" ht="30" customHeight="1"/>
    <row r="242" s="152" customFormat="1" ht="30" customHeight="1"/>
    <row r="243" s="152" customFormat="1" ht="30" customHeight="1"/>
    <row r="244" s="152" customFormat="1" ht="30" customHeight="1"/>
    <row r="245" s="152" customFormat="1" ht="30" customHeight="1"/>
    <row r="246" s="152" customFormat="1" ht="30" customHeight="1"/>
    <row r="247" s="152" customFormat="1" ht="30" customHeight="1"/>
    <row r="248" s="152" customFormat="1" ht="30" customHeight="1"/>
    <row r="249" s="152" customFormat="1" ht="30" customHeight="1"/>
    <row r="250" s="152" customFormat="1" ht="30" customHeight="1"/>
    <row r="251" s="152" customFormat="1" ht="30" customHeight="1"/>
    <row r="252" s="152" customFormat="1" ht="30" customHeight="1"/>
    <row r="253" s="152" customFormat="1" ht="30" customHeight="1"/>
    <row r="254" s="152" customFormat="1" ht="30" customHeight="1"/>
    <row r="255" s="152" customFormat="1" ht="30" customHeight="1"/>
    <row r="256" s="152" customFormat="1" ht="30" customHeight="1"/>
    <row r="257" ht="16.7" customHeight="1"/>
    <row r="258" ht="16.7" customHeight="1"/>
    <row r="259" ht="10.5" customHeight="1"/>
    <row r="260" ht="50.25" customHeight="1"/>
    <row r="261" ht="16.7" customHeight="1"/>
    <row r="262" ht="16.7" customHeight="1"/>
    <row r="263" ht="16.7" customHeight="1"/>
    <row r="264" ht="63.75" customHeight="1"/>
    <row r="265" ht="16.7" customHeight="1"/>
    <row r="266" ht="16.7" customHeight="1"/>
    <row r="267" ht="46.5" customHeight="1"/>
    <row r="268" ht="63.75" customHeight="1"/>
    <row r="269" ht="14.25" customHeight="1"/>
    <row r="270" ht="59.25" customHeight="1"/>
    <row r="271" ht="16.7" customHeight="1"/>
    <row r="272" ht="16.7" customHeight="1"/>
    <row r="273" ht="16.7" customHeight="1"/>
    <row r="274" ht="16.7" customHeight="1"/>
    <row r="275" ht="16.7" customHeight="1"/>
    <row r="276" ht="16.7" customHeight="1"/>
    <row r="277" ht="16.7" customHeight="1"/>
    <row r="278" ht="16.7" customHeight="1"/>
    <row r="279" ht="16.7" customHeight="1"/>
    <row r="280" ht="16.7" customHeight="1"/>
    <row r="281" ht="16.7" customHeight="1"/>
    <row r="282" ht="16.7" customHeight="1"/>
    <row r="283" ht="16.7" customHeight="1"/>
    <row r="284" ht="16.7" customHeight="1"/>
    <row r="285" ht="16.7" customHeight="1"/>
    <row r="286" ht="16.7" customHeight="1"/>
    <row r="287" ht="16.7" customHeight="1"/>
    <row r="288" ht="16.7" customHeight="1"/>
    <row r="289" ht="16.7" customHeight="1"/>
    <row r="290" ht="16.7" customHeight="1"/>
    <row r="291" ht="16.7" customHeight="1"/>
    <row r="292" ht="16.7" customHeight="1"/>
    <row r="293" ht="49.15" customHeight="1"/>
    <row r="294" ht="19.5" customHeight="1"/>
    <row r="295" ht="19.5" customHeight="1"/>
    <row r="296" ht="34.700000000000003" customHeight="1"/>
    <row r="297" ht="19.5" customHeight="1"/>
    <row r="298" ht="31.15" customHeight="1"/>
    <row r="299" ht="15" customHeight="1"/>
    <row r="300" ht="35.25" customHeight="1"/>
    <row r="301" ht="38.450000000000003" customHeight="1"/>
    <row r="302" ht="34.700000000000003" customHeight="1"/>
    <row r="303" ht="28.5" customHeight="1"/>
    <row r="304" ht="33.75" hidden="1" customHeight="1"/>
    <row r="305" ht="20.45" hidden="1" customHeight="1"/>
    <row r="306" ht="31.15" hidden="1" customHeight="1"/>
    <row r="307" ht="31.15" hidden="1" customHeight="1"/>
    <row r="308" s="153" customFormat="1" ht="15.75" customHeight="1"/>
    <row r="309" s="153" customFormat="1" ht="28.5" customHeight="1"/>
    <row r="310" ht="21" customHeight="1"/>
    <row r="311" ht="31.5" customHeight="1"/>
    <row r="312" ht="15.75" customHeight="1"/>
    <row r="313" ht="81.400000000000006" customHeight="1"/>
    <row r="314" ht="18.75" customHeight="1"/>
    <row r="315" ht="30" customHeight="1"/>
    <row r="316" ht="30" customHeight="1"/>
    <row r="317" ht="36" customHeight="1"/>
    <row r="318" s="153" customFormat="1" ht="31.15" customHeight="1"/>
    <row r="319" ht="14.25" customHeight="1"/>
    <row r="320" ht="30" customHeight="1"/>
    <row r="321" ht="16.7" customHeight="1"/>
    <row r="322" ht="16.7" customHeight="1"/>
    <row r="323" ht="19.5" customHeight="1"/>
    <row r="324" ht="33.75" customHeight="1"/>
    <row r="325" ht="16.7" customHeight="1"/>
    <row r="326" ht="16.7" customHeight="1"/>
    <row r="327" ht="13.5" customHeight="1"/>
    <row r="328" ht="15.75" customHeight="1"/>
    <row r="329" ht="14.25" customHeight="1"/>
    <row r="330" ht="30" customHeight="1"/>
    <row r="331" ht="31.15" customHeight="1"/>
    <row r="332" ht="15.75" customHeight="1"/>
    <row r="333" ht="32.25" customHeight="1"/>
    <row r="334" ht="13.15" customHeight="1"/>
    <row r="335" ht="49.15" customHeight="1"/>
    <row r="336" ht="19.5" customHeight="1"/>
    <row r="337" ht="19.5" customHeight="1"/>
    <row r="338" ht="34.700000000000003" customHeight="1"/>
    <row r="339" ht="19.5" customHeight="1"/>
    <row r="340" ht="31.15" customHeight="1"/>
    <row r="341" ht="20.45" customHeight="1"/>
    <row r="342" ht="35.25" customHeight="1"/>
    <row r="343" ht="38.450000000000003" customHeight="1"/>
    <row r="344" ht="34.700000000000003" customHeight="1"/>
    <row r="345" ht="28.5" customHeight="1"/>
    <row r="346" ht="18.75" customHeight="1"/>
    <row r="347" ht="30" customHeight="1"/>
    <row r="348" s="153" customFormat="1" ht="21" customHeight="1"/>
    <row r="349" s="153" customFormat="1" ht="18" customHeight="1"/>
    <row r="350" ht="15" customHeight="1"/>
    <row r="351" ht="19.5" customHeight="1"/>
    <row r="353" ht="36" customHeight="1"/>
    <row r="354" s="153" customFormat="1" ht="32.25" customHeight="1"/>
    <row r="355" ht="17.25" customHeight="1"/>
    <row r="356" ht="19.5" customHeight="1"/>
    <row r="357" ht="30" customHeight="1"/>
    <row r="358" ht="16.7" customHeight="1"/>
    <row r="359" ht="16.7" customHeight="1"/>
    <row r="360" ht="19.5" customHeight="1"/>
    <row r="361" ht="33.75" customHeight="1"/>
    <row r="362" ht="16.7" customHeight="1"/>
    <row r="363" ht="16.7" customHeight="1"/>
    <row r="364" ht="13.5" customHeight="1"/>
    <row r="365" ht="15.75" customHeight="1"/>
    <row r="366" ht="14.25" customHeight="1"/>
    <row r="367" ht="30" customHeight="1"/>
    <row r="368" ht="31.15" customHeight="1"/>
    <row r="369" ht="15.75" customHeight="1"/>
    <row r="370" ht="32.25" customHeight="1"/>
    <row r="371" ht="14.25" customHeight="1"/>
    <row r="372" ht="45.4" customHeight="1"/>
    <row r="373" ht="19.5" customHeight="1"/>
    <row r="374" ht="19.5" customHeight="1"/>
    <row r="375" ht="34.700000000000003" customHeight="1"/>
    <row r="376" ht="19.5" customHeight="1"/>
    <row r="377" ht="31.15" customHeight="1"/>
    <row r="378" ht="20.45" customHeight="1"/>
    <row r="379" ht="31.15" customHeight="1"/>
    <row r="380" ht="29.25" customHeight="1"/>
    <row r="381" ht="32.25" customHeight="1"/>
    <row r="382" ht="28.5" customHeight="1"/>
    <row r="383" ht="18.75" customHeight="1"/>
    <row r="384" ht="30" customHeight="1"/>
    <row r="385" ht="16.7" customHeight="1"/>
    <row r="386" ht="16.7" customHeight="1"/>
    <row r="387" ht="19.5" customHeight="1"/>
    <row r="388" ht="33.75" customHeight="1"/>
    <row r="389" ht="16.7" customHeight="1"/>
    <row r="390" ht="16.7" customHeight="1"/>
    <row r="391" ht="13.5" customHeight="1"/>
    <row r="392" ht="15.75" customHeight="1"/>
    <row r="393" ht="14.25" customHeight="1"/>
    <row r="394" ht="30" customHeight="1"/>
    <row r="395" ht="31.15" customHeight="1"/>
    <row r="396" ht="15.75" customHeight="1"/>
    <row r="397" ht="30" customHeight="1"/>
    <row r="398" ht="15.75" customHeight="1"/>
    <row r="399" ht="45.75" customHeight="1"/>
    <row r="400" ht="19.5" customHeight="1"/>
    <row r="401" ht="15" customHeight="1"/>
    <row r="402" ht="31.5" customHeight="1"/>
    <row r="403" ht="19.5" customHeight="1"/>
    <row r="404" ht="31.15" customHeight="1"/>
    <row r="405" ht="20.45" customHeight="1"/>
    <row r="406" ht="31.15" customHeight="1"/>
    <row r="407" ht="30" customHeight="1"/>
    <row r="408" ht="34.700000000000003" customHeight="1"/>
    <row r="409" ht="28.5" customHeight="1"/>
    <row r="410" ht="18" customHeight="1"/>
    <row r="411" s="153" customFormat="1" ht="18.75" customHeight="1"/>
    <row r="412" ht="30" customHeight="1"/>
    <row r="413" s="153" customFormat="1" ht="15.75" customHeight="1"/>
    <row r="414" ht="16.7" customHeight="1"/>
    <row r="415" s="153" customFormat="1" ht="18.75" customHeight="1"/>
    <row r="416" s="153" customFormat="1" ht="18" customHeight="1"/>
    <row r="417" ht="18.75" customHeight="1"/>
    <row r="418" ht="36" customHeight="1"/>
    <row r="419" s="153" customFormat="1" ht="34.700000000000003" customHeight="1"/>
    <row r="420" ht="14.25" customHeight="1"/>
    <row r="421" s="153" customFormat="1" ht="30" customHeight="1"/>
    <row r="422" ht="30" customHeight="1"/>
    <row r="423" ht="15" customHeight="1"/>
    <row r="424" ht="16.7" customHeight="1"/>
    <row r="425" ht="19.5" customHeight="1"/>
    <row r="426" ht="33.75" customHeight="1"/>
    <row r="427" ht="16.7" customHeight="1"/>
    <row r="428" ht="15" customHeight="1"/>
    <row r="429" ht="15" customHeight="1"/>
    <row r="430" ht="15.75" customHeight="1"/>
    <row r="431" ht="14.25" customHeight="1"/>
    <row r="432" ht="30" customHeight="1"/>
    <row r="433" ht="31.15" customHeight="1"/>
    <row r="434" ht="15.75" customHeight="1"/>
    <row r="435" ht="32.25" customHeight="1"/>
    <row r="436" ht="15.75" customHeight="1"/>
    <row r="437" ht="49.15" customHeight="1"/>
    <row r="438" ht="16.7" customHeight="1"/>
    <row r="439" ht="15.75" customHeight="1"/>
    <row r="440" ht="34.700000000000003" customHeight="1"/>
    <row r="441" ht="19.5" customHeight="1"/>
    <row r="442" ht="31.15" customHeight="1"/>
    <row r="443" ht="15.75" customHeight="1"/>
    <row r="444" ht="35.25" customHeight="1"/>
    <row r="445" ht="32.25" customHeight="1"/>
    <row r="446" ht="34.700000000000003" customHeight="1"/>
    <row r="447" ht="28.5" customHeight="1"/>
    <row r="448" s="153" customFormat="1" ht="30" customHeight="1"/>
    <row r="449" ht="30" customHeight="1"/>
    <row r="450" ht="16.7" customHeight="1"/>
    <row r="451" ht="16.7" customHeight="1"/>
    <row r="452" ht="19.5" customHeight="1"/>
    <row r="453" ht="33.75" customHeight="1"/>
    <row r="454" ht="16.7" customHeight="1"/>
    <row r="455" ht="16.7" customHeight="1"/>
    <row r="456" ht="13.5" customHeight="1"/>
    <row r="457" ht="15.75" customHeight="1"/>
    <row r="458" ht="14.25" customHeight="1"/>
    <row r="459" ht="30" customHeight="1"/>
    <row r="460" ht="31.15" customHeight="1"/>
    <row r="461" ht="15.75" customHeight="1"/>
    <row r="462" ht="32.25" customHeight="1"/>
    <row r="463" ht="13.15" customHeight="1"/>
    <row r="464" ht="49.15" customHeight="1"/>
    <row r="465" ht="19.5" customHeight="1"/>
    <row r="466" ht="19.5" customHeight="1"/>
    <row r="467" ht="34.700000000000003" customHeight="1"/>
    <row r="468" ht="19.5" customHeight="1"/>
    <row r="469" ht="31.15" customHeight="1"/>
    <row r="470" ht="16.7" customHeight="1"/>
    <row r="471" ht="35.25" customHeight="1"/>
    <row r="472" ht="29.25" customHeight="1"/>
    <row r="473" ht="34.700000000000003" customHeight="1"/>
    <row r="474" ht="28.5" customHeight="1"/>
    <row r="475" ht="24.2" customHeight="1"/>
    <row r="476" s="153" customFormat="1" ht="50.25" customHeight="1"/>
    <row r="477" ht="30" customHeight="1"/>
    <row r="478" ht="99.4" customHeight="1"/>
    <row r="479" ht="16.7" customHeight="1"/>
    <row r="480" ht="16.7" customHeight="1"/>
    <row r="481" ht="16.7" customHeight="1"/>
    <row r="482" ht="16.7" customHeight="1"/>
    <row r="483" ht="36" customHeight="1"/>
    <row r="484" s="153" customFormat="1" ht="13.5" customHeight="1"/>
    <row r="485" ht="14.25" customHeight="1"/>
    <row r="486" ht="30" customHeight="1"/>
    <row r="487" ht="16.7" customHeight="1"/>
    <row r="488" ht="16.7" customHeight="1"/>
    <row r="489" ht="19.5" customHeight="1"/>
    <row r="490" ht="33.75" customHeight="1"/>
    <row r="491" ht="16.7" customHeight="1"/>
    <row r="492" ht="16.7" customHeight="1"/>
    <row r="493" ht="13.5" customHeight="1"/>
    <row r="494" ht="15.75" customHeight="1"/>
    <row r="495" ht="14.25" customHeight="1"/>
    <row r="496" ht="30" customHeight="1"/>
    <row r="497" ht="31.15" customHeight="1"/>
    <row r="498" ht="15.75" customHeight="1"/>
    <row r="499" ht="32.25" customHeight="1"/>
    <row r="500" ht="13.15" customHeight="1"/>
    <row r="501" ht="49.15" customHeight="1"/>
    <row r="502" ht="18" customHeight="1"/>
    <row r="503" ht="15" customHeight="1"/>
    <row r="504" ht="34.700000000000003" customHeight="1"/>
    <row r="505" ht="19.5" customHeight="1"/>
    <row r="506" ht="31.15" customHeight="1"/>
    <row r="507" ht="15.75" customHeight="1"/>
    <row r="508" ht="35.25" customHeight="1"/>
    <row r="509" ht="38.450000000000003" customHeight="1"/>
    <row r="510" ht="34.700000000000003" customHeight="1"/>
    <row r="511" ht="28.5" customHeight="1"/>
    <row r="512" s="153" customFormat="1" ht="18.75" customHeight="1"/>
    <row r="513" ht="30" customHeight="1"/>
    <row r="514" ht="33" customHeight="1"/>
    <row r="515" ht="15" customHeight="1"/>
    <row r="516" ht="18" customHeight="1"/>
    <row r="517" ht="18" customHeight="1"/>
    <row r="518" ht="18" customHeight="1"/>
    <row r="519" ht="36" customHeight="1"/>
    <row r="520" s="153" customFormat="1" ht="13.5" customHeight="1"/>
    <row r="521" ht="14.25" customHeight="1"/>
    <row r="522" ht="30" customHeight="1"/>
    <row r="523" ht="16.7" customHeight="1"/>
    <row r="524" ht="16.7" customHeight="1"/>
    <row r="525" ht="19.5" customHeight="1"/>
    <row r="526" ht="33.75" customHeight="1"/>
    <row r="527" ht="16.7" customHeight="1"/>
    <row r="528" ht="16.7" customHeight="1"/>
    <row r="529" ht="13.5" customHeight="1"/>
    <row r="530" ht="15.75" customHeight="1"/>
    <row r="531" ht="14.25" customHeight="1"/>
    <row r="532" ht="30" customHeight="1"/>
    <row r="533" ht="31.15" customHeight="1"/>
    <row r="534" ht="15.75" customHeight="1"/>
    <row r="535" ht="32.25" customHeight="1"/>
    <row r="536" ht="15" customHeight="1"/>
    <row r="537" ht="49.15" customHeight="1"/>
    <row r="538" ht="19.5" customHeight="1"/>
    <row r="539" ht="13.5" customHeight="1"/>
    <row r="540" ht="34.700000000000003" customHeight="1"/>
    <row r="541" ht="19.5" customHeight="1"/>
    <row r="542" ht="31.15" customHeight="1"/>
    <row r="543" ht="20.45" customHeight="1"/>
    <row r="544" ht="31.15" customHeight="1"/>
    <row r="545" ht="31.15" customHeight="1"/>
    <row r="546" ht="34.700000000000003" customHeight="1"/>
    <row r="547" ht="28.5" customHeight="1"/>
    <row r="548" ht="33.75" hidden="1" customHeight="1"/>
    <row r="549" ht="20.45" hidden="1" customHeight="1"/>
    <row r="550" ht="31.15" hidden="1" customHeight="1"/>
    <row r="551" ht="31.15" hidden="1" customHeight="1"/>
    <row r="552" ht="28.5" customHeight="1"/>
    <row r="553" ht="29.25" customHeight="1"/>
    <row r="554" ht="29.25" customHeight="1"/>
    <row r="555" ht="30" customHeight="1"/>
    <row r="556" ht="15" customHeight="1"/>
    <row r="557" ht="23.25" customHeight="1"/>
    <row r="558" ht="30" customHeight="1"/>
  </sheetData>
  <customSheetViews>
    <customSheetView guid="{CA0FB9E2-E541-4C74-BCFE-D75491869B36}" scale="70" showPageBreaks="1" printArea="1" hiddenRows="1" view="pageBreakPreview" topLeftCell="A10">
      <selection activeCell="A27" sqref="A27:C30"/>
      <rowBreaks count="7" manualBreakCount="7">
        <brk id="49" max="16383" man="1"/>
        <brk id="70" max="13" man="1"/>
        <brk id="118" max="13" man="1"/>
        <brk id="183" max="16383" man="1"/>
        <brk id="220" max="13" man="1"/>
        <brk id="258" max="16383" man="1"/>
        <brk id="312" max="13" man="1"/>
      </rowBreaks>
      <pageMargins left="0.78740157480314965" right="0.39370078740157483" top="0.59055118110236227" bottom="0.59055118110236227" header="0.35433070866141736" footer="0.6692913385826772"/>
      <pageSetup paperSize="9" scale="59" firstPageNumber="6" fitToHeight="14" orientation="portrait" r:id="rId1"/>
      <headerFooter differentFirst="1" alignWithMargins="0">
        <oddHeader>&amp;C&amp;"Times New Roman,обычный"&amp;14&amp;P</oddHeader>
      </headerFooter>
    </customSheetView>
    <customSheetView guid="{F10E3D8B-5892-420A-B023-68C6496D556B}" scale="70" showPageBreaks="1" printArea="1" hiddenRows="1" view="pageBreakPreview">
      <selection activeCell="G3" sqref="G3:J3"/>
      <rowBreaks count="7" manualBreakCount="7">
        <brk id="49" max="16383" man="1"/>
        <brk id="70" max="13" man="1"/>
        <brk id="118" max="13" man="1"/>
        <brk id="183" max="16383" man="1"/>
        <brk id="220" max="13" man="1"/>
        <brk id="258" max="16383" man="1"/>
        <brk id="312" max="13" man="1"/>
      </rowBreaks>
      <pageMargins left="0.78740157480314965" right="0.39370078740157483" top="0.59055118110236227" bottom="0.59055118110236227" header="0.35433070866141736" footer="0.6692913385826772"/>
      <pageSetup paperSize="9" scale="59" firstPageNumber="6" fitToHeight="14" orientation="portrait" r:id="rId2"/>
      <headerFooter differentFirst="1" alignWithMargins="0">
        <oddHeader>&amp;C&amp;"Times New Roman,обычный"&amp;14&amp;P</oddHeader>
      </headerFooter>
    </customSheetView>
    <customSheetView guid="{FE7E58EF-FECC-4DF6-BB75-BA97138CB219}" scale="70" showPageBreaks="1" printArea="1" hiddenRows="1" view="pageBreakPreview">
      <selection activeCell="G3" sqref="G3:J3"/>
      <rowBreaks count="7" manualBreakCount="7">
        <brk id="49" max="16383" man="1"/>
        <brk id="70" max="13" man="1"/>
        <brk id="118" max="13" man="1"/>
        <brk id="183" max="16383" man="1"/>
        <brk id="220" max="13" man="1"/>
        <brk id="258" max="16383" man="1"/>
        <brk id="312" max="13" man="1"/>
      </rowBreaks>
      <pageMargins left="0.78740157480314965" right="0.39370078740157483" top="0.59055118110236227" bottom="0.59055118110236227" header="0.35433070866141736" footer="0.6692913385826772"/>
      <pageSetup paperSize="9" scale="59" firstPageNumber="6" fitToHeight="14" orientation="portrait" r:id="rId3"/>
      <headerFooter differentFirst="1" alignWithMargins="0">
        <oddHeader>&amp;C&amp;"Times New Roman,обычный"&amp;14&amp;P</oddHeader>
      </headerFooter>
    </customSheetView>
    <customSheetView guid="{43136B00-66C6-4289-99D3-5EF20611F834}" scale="70" showPageBreaks="1" printArea="1" hiddenRows="1" view="pageBreakPreview">
      <selection activeCell="A27" sqref="A27:C30"/>
      <rowBreaks count="7" manualBreakCount="7">
        <brk id="49" max="16383" man="1"/>
        <brk id="70" max="13" man="1"/>
        <brk id="118" max="13" man="1"/>
        <brk id="183" max="16383" man="1"/>
        <brk id="220" max="13" man="1"/>
        <brk id="258" max="16383" man="1"/>
        <brk id="312" max="13" man="1"/>
      </rowBreaks>
      <pageMargins left="0.78740157480314965" right="0.39370078740157483" top="0.59055118110236227" bottom="0.59055118110236227" header="0.35433070866141736" footer="0.6692913385826772"/>
      <pageSetup paperSize="9" scale="59" firstPageNumber="6" fitToHeight="14" orientation="portrait" r:id="rId4"/>
      <headerFooter differentFirst="1" alignWithMargins="0">
        <oddHeader>&amp;C&amp;"Times New Roman,обычный"&amp;14&amp;P</oddHeader>
      </headerFooter>
    </customSheetView>
    <customSheetView guid="{22820B9F-10DE-4629-AF3D-4AF98A9BCEDB}" scale="70" showPageBreaks="1" printArea="1" hiddenRows="1" view="pageBreakPreview">
      <selection activeCell="A27" sqref="A27:C30"/>
      <rowBreaks count="7" manualBreakCount="7">
        <brk id="49" max="16383" man="1"/>
        <brk id="70" max="13" man="1"/>
        <brk id="118" max="13" man="1"/>
        <brk id="183" max="16383" man="1"/>
        <brk id="220" max="13" man="1"/>
        <brk id="258" max="16383" man="1"/>
        <brk id="312" max="13" man="1"/>
      </rowBreaks>
      <pageMargins left="0.78740157480314965" right="0.39370078740157483" top="0.59055118110236227" bottom="0.59055118110236227" header="0.35433070866141736" footer="0.6692913385826772"/>
      <pageSetup paperSize="9" scale="59" firstPageNumber="6" fitToHeight="14" orientation="portrait" r:id="rId5"/>
      <headerFooter differentFirst="1" alignWithMargins="0">
        <oddHeader>&amp;C&amp;"Times New Roman,обычный"&amp;14&amp;P</oddHeader>
      </headerFooter>
    </customSheetView>
  </customSheetViews>
  <mergeCells count="22">
    <mergeCell ref="A4:B4"/>
    <mergeCell ref="G4:J4"/>
    <mergeCell ref="I5:J5"/>
    <mergeCell ref="I6:J6"/>
    <mergeCell ref="A7:B7"/>
    <mergeCell ref="G7:J7"/>
    <mergeCell ref="A12:B12"/>
    <mergeCell ref="A18:J18"/>
    <mergeCell ref="A19:J19"/>
    <mergeCell ref="A1:B1"/>
    <mergeCell ref="G1:J1"/>
    <mergeCell ref="G2:J2"/>
    <mergeCell ref="A3:B3"/>
    <mergeCell ref="G3:J3"/>
    <mergeCell ref="A36:C38"/>
    <mergeCell ref="A40:C42"/>
    <mergeCell ref="A44:C45"/>
    <mergeCell ref="C20:F20"/>
    <mergeCell ref="C22:F22"/>
    <mergeCell ref="A29:C31"/>
    <mergeCell ref="A34:C34"/>
    <mergeCell ref="A25:C28"/>
  </mergeCells>
  <phoneticPr fontId="116" type="noConversion"/>
  <pageMargins left="0.78740157480314965" right="0.39370078740157483" top="0.59055118110236227" bottom="0.59055118110236227" header="0.35433070866141736" footer="0.6692913385826772"/>
  <pageSetup paperSize="9" scale="59" firstPageNumber="6" fitToHeight="14" orientation="portrait" r:id="rId6"/>
  <headerFooter differentFirst="1" alignWithMargins="0">
    <oddHeader>&amp;C&amp;"Times New Roman,обычный"&amp;14&amp;P</oddHeader>
  </headerFooter>
  <rowBreaks count="7" manualBreakCount="7">
    <brk id="47" max="16383" man="1"/>
    <brk id="68" max="13" man="1"/>
    <brk id="116" max="13" man="1"/>
    <brk id="181" max="16383" man="1"/>
    <brk id="218" max="13" man="1"/>
    <brk id="256" max="16383" man="1"/>
    <brk id="310" max="13" man="1"/>
  </rowBreaks>
</worksheet>
</file>

<file path=xl/worksheets/sheet40.xml><?xml version="1.0" encoding="utf-8"?>
<worksheet xmlns="http://schemas.openxmlformats.org/spreadsheetml/2006/main" xmlns:r="http://schemas.openxmlformats.org/officeDocument/2006/relationships">
  <sheetPr>
    <tabColor rgb="FFFF0000"/>
  </sheetPr>
  <dimension ref="A1:Q275"/>
  <sheetViews>
    <sheetView view="pageBreakPreview" topLeftCell="A13" zoomScaleNormal="100" zoomScaleSheetLayoutView="100" workbookViewId="0">
      <selection activeCell="E19" sqref="E19"/>
    </sheetView>
  </sheetViews>
  <sheetFormatPr defaultRowHeight="15"/>
  <cols>
    <col min="1" max="1" width="4.42578125" style="26" bestFit="1" customWidth="1"/>
    <col min="2" max="2" width="43.7109375" style="26" customWidth="1"/>
    <col min="3" max="3" width="9.85546875" style="72" customWidth="1"/>
    <col min="4" max="4" width="9.140625" style="72"/>
    <col min="5" max="5" width="10.42578125" style="72" customWidth="1"/>
    <col min="6" max="6" width="15.7109375" style="72" customWidth="1"/>
    <col min="7" max="16384" width="9.140625" style="26"/>
  </cols>
  <sheetData>
    <row r="1" spans="1:6" ht="15.75">
      <c r="A1" s="161"/>
      <c r="B1" s="161"/>
      <c r="C1" s="404"/>
      <c r="D1" s="404"/>
      <c r="E1" s="404"/>
      <c r="F1" s="209" t="s">
        <v>961</v>
      </c>
    </row>
    <row r="2" spans="1:6" ht="15.75">
      <c r="A2" s="161"/>
      <c r="B2" s="1809"/>
      <c r="C2" s="1809"/>
      <c r="D2" s="1809"/>
      <c r="E2" s="1809"/>
      <c r="F2" s="1809"/>
    </row>
    <row r="3" spans="1:6" ht="15.75" customHeight="1">
      <c r="A3" s="1475" t="s">
        <v>1919</v>
      </c>
      <c r="B3" s="1475"/>
      <c r="C3" s="1475"/>
      <c r="D3" s="1475"/>
      <c r="E3" s="1475"/>
      <c r="F3" s="1475"/>
    </row>
    <row r="4" spans="1:6" ht="15.75">
      <c r="A4" s="1862" t="s">
        <v>753</v>
      </c>
      <c r="B4" s="1862"/>
      <c r="C4" s="1862"/>
      <c r="D4" s="1862"/>
      <c r="E4" s="1862"/>
      <c r="F4" s="1862"/>
    </row>
    <row r="5" spans="1:6" s="71" customFormat="1" ht="31.5">
      <c r="A5" s="228" t="s">
        <v>1267</v>
      </c>
      <c r="B5" s="228" t="s">
        <v>218</v>
      </c>
      <c r="C5" s="228" t="s">
        <v>1305</v>
      </c>
      <c r="D5" s="228" t="s">
        <v>89</v>
      </c>
      <c r="E5" s="253" t="s">
        <v>223</v>
      </c>
      <c r="F5" s="253" t="s">
        <v>1019</v>
      </c>
    </row>
    <row r="6" spans="1:6" s="71" customFormat="1" ht="15.75">
      <c r="A6" s="228">
        <v>1</v>
      </c>
      <c r="B6" s="228">
        <v>2</v>
      </c>
      <c r="C6" s="228">
        <v>3</v>
      </c>
      <c r="D6" s="228">
        <v>4</v>
      </c>
      <c r="E6" s="254">
        <v>5</v>
      </c>
      <c r="F6" s="254">
        <v>6</v>
      </c>
    </row>
    <row r="7" spans="1:6" ht="15.75" customHeight="1">
      <c r="A7" s="1871" t="s">
        <v>32</v>
      </c>
      <c r="B7" s="1879"/>
      <c r="C7" s="1879"/>
      <c r="D7" s="1879"/>
      <c r="E7" s="1880"/>
      <c r="F7" s="1321">
        <f>SUM(F8:F52)</f>
        <v>198365.59999999998</v>
      </c>
    </row>
    <row r="8" spans="1:6" ht="15.75">
      <c r="A8" s="1221">
        <v>1</v>
      </c>
      <c r="B8" s="352" t="s">
        <v>888</v>
      </c>
      <c r="C8" s="1222" t="s">
        <v>889</v>
      </c>
      <c r="D8" s="1429">
        <v>10</v>
      </c>
      <c r="E8" s="1224">
        <v>755.44</v>
      </c>
      <c r="F8" s="1322">
        <f t="shared" ref="F8:F33" si="0">ROUND(D8*E8,2)</f>
        <v>7554.4</v>
      </c>
    </row>
    <row r="9" spans="1:6" ht="15.75">
      <c r="A9" s="1221">
        <f>A8+1</f>
        <v>2</v>
      </c>
      <c r="B9" s="1225" t="s">
        <v>890</v>
      </c>
      <c r="C9" s="1222" t="s">
        <v>889</v>
      </c>
      <c r="D9" s="1429">
        <v>10</v>
      </c>
      <c r="E9" s="1224">
        <v>980</v>
      </c>
      <c r="F9" s="1322">
        <f t="shared" si="0"/>
        <v>9800</v>
      </c>
    </row>
    <row r="10" spans="1:6" ht="31.5">
      <c r="A10" s="1221">
        <f t="shared" ref="A10:A73" si="1">A9+1</f>
        <v>3</v>
      </c>
      <c r="B10" s="475" t="s">
        <v>891</v>
      </c>
      <c r="C10" s="1222" t="s">
        <v>889</v>
      </c>
      <c r="D10" s="1429">
        <v>2</v>
      </c>
      <c r="E10" s="1224">
        <v>539</v>
      </c>
      <c r="F10" s="1322">
        <f t="shared" si="0"/>
        <v>1078</v>
      </c>
    </row>
    <row r="11" spans="1:6" ht="15.75">
      <c r="A11" s="1221">
        <f t="shared" si="1"/>
        <v>4</v>
      </c>
      <c r="B11" s="352" t="s">
        <v>892</v>
      </c>
      <c r="C11" s="1222" t="s">
        <v>889</v>
      </c>
      <c r="D11" s="1429">
        <v>5</v>
      </c>
      <c r="E11" s="1226">
        <v>1380</v>
      </c>
      <c r="F11" s="1322">
        <f t="shared" si="0"/>
        <v>6900</v>
      </c>
    </row>
    <row r="12" spans="1:6" ht="15.75">
      <c r="A12" s="1221">
        <f t="shared" si="1"/>
        <v>5</v>
      </c>
      <c r="B12" s="352" t="s">
        <v>893</v>
      </c>
      <c r="C12" s="1222" t="s">
        <v>889</v>
      </c>
      <c r="D12" s="1429">
        <v>10</v>
      </c>
      <c r="E12" s="1226">
        <v>1832</v>
      </c>
      <c r="F12" s="1322">
        <f t="shared" si="0"/>
        <v>18320</v>
      </c>
    </row>
    <row r="13" spans="1:6" ht="15.75">
      <c r="A13" s="1221">
        <f t="shared" si="1"/>
        <v>6</v>
      </c>
      <c r="B13" s="352" t="s">
        <v>894</v>
      </c>
      <c r="C13" s="1222" t="s">
        <v>895</v>
      </c>
      <c r="D13" s="1429">
        <v>1</v>
      </c>
      <c r="E13" s="1226">
        <v>6500</v>
      </c>
      <c r="F13" s="1322">
        <f t="shared" si="0"/>
        <v>6500</v>
      </c>
    </row>
    <row r="14" spans="1:6" ht="15.75">
      <c r="A14" s="1221">
        <f t="shared" si="1"/>
        <v>7</v>
      </c>
      <c r="B14" s="352" t="s">
        <v>896</v>
      </c>
      <c r="C14" s="1222" t="s">
        <v>889</v>
      </c>
      <c r="D14" s="1223">
        <v>5</v>
      </c>
      <c r="E14" s="1226">
        <v>315</v>
      </c>
      <c r="F14" s="1322">
        <f t="shared" si="0"/>
        <v>1575</v>
      </c>
    </row>
    <row r="15" spans="1:6" ht="15.75">
      <c r="A15" s="1221">
        <f t="shared" si="1"/>
        <v>8</v>
      </c>
      <c r="B15" s="352" t="s">
        <v>897</v>
      </c>
      <c r="C15" s="1222" t="s">
        <v>889</v>
      </c>
      <c r="D15" s="1223">
        <v>10</v>
      </c>
      <c r="E15" s="1226">
        <v>512</v>
      </c>
      <c r="F15" s="1322">
        <f t="shared" si="0"/>
        <v>5120</v>
      </c>
    </row>
    <row r="16" spans="1:6" ht="15.75">
      <c r="A16" s="1221">
        <f t="shared" si="1"/>
        <v>9</v>
      </c>
      <c r="B16" s="352" t="s">
        <v>898</v>
      </c>
      <c r="C16" s="1222" t="s">
        <v>889</v>
      </c>
      <c r="D16" s="1429">
        <v>1</v>
      </c>
      <c r="E16" s="1226">
        <v>10500</v>
      </c>
      <c r="F16" s="1322">
        <f t="shared" si="0"/>
        <v>10500</v>
      </c>
    </row>
    <row r="17" spans="1:6" ht="15.75">
      <c r="A17" s="1221">
        <f t="shared" si="1"/>
        <v>10</v>
      </c>
      <c r="B17" s="352" t="s">
        <v>899</v>
      </c>
      <c r="C17" s="1222" t="s">
        <v>900</v>
      </c>
      <c r="D17" s="1223">
        <v>16</v>
      </c>
      <c r="E17" s="1226">
        <v>910</v>
      </c>
      <c r="F17" s="1322">
        <f t="shared" si="0"/>
        <v>14560</v>
      </c>
    </row>
    <row r="18" spans="1:6" ht="15.75">
      <c r="A18" s="1221">
        <f t="shared" si="1"/>
        <v>11</v>
      </c>
      <c r="B18" s="352" t="s">
        <v>901</v>
      </c>
      <c r="C18" s="1222" t="s">
        <v>889</v>
      </c>
      <c r="D18" s="1223">
        <v>1</v>
      </c>
      <c r="E18" s="1226">
        <v>610</v>
      </c>
      <c r="F18" s="1322">
        <f t="shared" si="0"/>
        <v>610</v>
      </c>
    </row>
    <row r="19" spans="1:6" ht="15.75">
      <c r="A19" s="1221">
        <f t="shared" si="1"/>
        <v>12</v>
      </c>
      <c r="B19" s="352" t="s">
        <v>902</v>
      </c>
      <c r="C19" s="1222" t="s">
        <v>889</v>
      </c>
      <c r="D19" s="1223">
        <v>0</v>
      </c>
      <c r="E19" s="1226">
        <v>250</v>
      </c>
      <c r="F19" s="1322">
        <f t="shared" si="0"/>
        <v>0</v>
      </c>
    </row>
    <row r="20" spans="1:6" ht="15.75">
      <c r="A20" s="1221">
        <f t="shared" si="1"/>
        <v>13</v>
      </c>
      <c r="B20" s="1225" t="s">
        <v>903</v>
      </c>
      <c r="C20" s="1222" t="s">
        <v>889</v>
      </c>
      <c r="D20" s="1223">
        <v>0</v>
      </c>
      <c r="E20" s="1224">
        <v>558</v>
      </c>
      <c r="F20" s="1322">
        <f t="shared" si="0"/>
        <v>0</v>
      </c>
    </row>
    <row r="21" spans="1:6" ht="15.75">
      <c r="A21" s="1221">
        <f t="shared" si="1"/>
        <v>14</v>
      </c>
      <c r="B21" s="1225" t="s">
        <v>904</v>
      </c>
      <c r="C21" s="1222" t="s">
        <v>889</v>
      </c>
      <c r="D21" s="1223">
        <v>0</v>
      </c>
      <c r="E21" s="1224">
        <v>104</v>
      </c>
      <c r="F21" s="1322">
        <f t="shared" si="0"/>
        <v>0</v>
      </c>
    </row>
    <row r="22" spans="1:6" ht="15.75">
      <c r="A22" s="1221">
        <f t="shared" si="1"/>
        <v>15</v>
      </c>
      <c r="B22" s="1225" t="s">
        <v>905</v>
      </c>
      <c r="C22" s="1222" t="s">
        <v>889</v>
      </c>
      <c r="D22" s="1223">
        <v>8</v>
      </c>
      <c r="E22" s="1224">
        <v>38</v>
      </c>
      <c r="F22" s="1322">
        <f t="shared" si="0"/>
        <v>304</v>
      </c>
    </row>
    <row r="23" spans="1:6" ht="31.5">
      <c r="A23" s="1221">
        <f t="shared" si="1"/>
        <v>16</v>
      </c>
      <c r="B23" s="1225" t="s">
        <v>906</v>
      </c>
      <c r="C23" s="1222" t="s">
        <v>889</v>
      </c>
      <c r="D23" s="1223">
        <v>8</v>
      </c>
      <c r="E23" s="1224">
        <v>268</v>
      </c>
      <c r="F23" s="1322">
        <f t="shared" si="0"/>
        <v>2144</v>
      </c>
    </row>
    <row r="24" spans="1:6" ht="31.5">
      <c r="A24" s="1221">
        <f t="shared" si="1"/>
        <v>17</v>
      </c>
      <c r="B24" s="548" t="s">
        <v>907</v>
      </c>
      <c r="C24" s="1227" t="s">
        <v>908</v>
      </c>
      <c r="D24" s="1223">
        <v>60</v>
      </c>
      <c r="E24" s="1224">
        <v>120</v>
      </c>
      <c r="F24" s="1322">
        <f t="shared" si="0"/>
        <v>7200</v>
      </c>
    </row>
    <row r="25" spans="1:6" ht="31.5">
      <c r="A25" s="255">
        <f t="shared" si="1"/>
        <v>18</v>
      </c>
      <c r="B25" s="548" t="s">
        <v>909</v>
      </c>
      <c r="C25" s="1227" t="s">
        <v>908</v>
      </c>
      <c r="D25" s="246">
        <v>30</v>
      </c>
      <c r="E25" s="247">
        <v>120</v>
      </c>
      <c r="F25" s="1322">
        <f t="shared" si="0"/>
        <v>3600</v>
      </c>
    </row>
    <row r="26" spans="1:6" ht="31.5">
      <c r="A26" s="255">
        <f t="shared" si="1"/>
        <v>19</v>
      </c>
      <c r="B26" s="1225" t="s">
        <v>910</v>
      </c>
      <c r="C26" s="1227" t="s">
        <v>908</v>
      </c>
      <c r="D26" s="246">
        <v>30</v>
      </c>
      <c r="E26" s="247">
        <v>120</v>
      </c>
      <c r="F26" s="1322">
        <f t="shared" si="0"/>
        <v>3600</v>
      </c>
    </row>
    <row r="27" spans="1:6" ht="31.5">
      <c r="A27" s="255">
        <f t="shared" si="1"/>
        <v>20</v>
      </c>
      <c r="B27" s="1225" t="s">
        <v>911</v>
      </c>
      <c r="C27" s="1227" t="s">
        <v>908</v>
      </c>
      <c r="D27" s="246">
        <v>30</v>
      </c>
      <c r="E27" s="247">
        <v>120</v>
      </c>
      <c r="F27" s="1322">
        <f t="shared" si="0"/>
        <v>3600</v>
      </c>
    </row>
    <row r="28" spans="1:6" ht="31.5">
      <c r="A28" s="255">
        <f t="shared" si="1"/>
        <v>21</v>
      </c>
      <c r="B28" s="1228" t="s">
        <v>912</v>
      </c>
      <c r="C28" s="1227" t="s">
        <v>908</v>
      </c>
      <c r="D28" s="246">
        <v>120</v>
      </c>
      <c r="E28" s="247">
        <v>120</v>
      </c>
      <c r="F28" s="1322">
        <f t="shared" si="0"/>
        <v>14400</v>
      </c>
    </row>
    <row r="29" spans="1:6" ht="15.75">
      <c r="A29" s="255">
        <f t="shared" si="1"/>
        <v>22</v>
      </c>
      <c r="B29" s="231" t="s">
        <v>913</v>
      </c>
      <c r="C29" s="1227" t="s">
        <v>914</v>
      </c>
      <c r="D29" s="147">
        <v>2</v>
      </c>
      <c r="E29" s="247">
        <v>230</v>
      </c>
      <c r="F29" s="1322">
        <f t="shared" si="0"/>
        <v>460</v>
      </c>
    </row>
    <row r="30" spans="1:6" ht="15.75">
      <c r="A30" s="255">
        <f t="shared" si="1"/>
        <v>23</v>
      </c>
      <c r="B30" s="231" t="s">
        <v>915</v>
      </c>
      <c r="C30" s="1227" t="s">
        <v>914</v>
      </c>
      <c r="D30" s="147">
        <v>2</v>
      </c>
      <c r="E30" s="247">
        <v>270</v>
      </c>
      <c r="F30" s="1322">
        <f t="shared" si="0"/>
        <v>540</v>
      </c>
    </row>
    <row r="31" spans="1:6" ht="15.75">
      <c r="A31" s="255">
        <f t="shared" si="1"/>
        <v>24</v>
      </c>
      <c r="B31" s="231" t="s">
        <v>916</v>
      </c>
      <c r="C31" s="1227" t="s">
        <v>914</v>
      </c>
      <c r="D31" s="147">
        <v>2</v>
      </c>
      <c r="E31" s="247">
        <v>260</v>
      </c>
      <c r="F31" s="1322">
        <f t="shared" si="0"/>
        <v>520</v>
      </c>
    </row>
    <row r="32" spans="1:6" ht="15.75">
      <c r="A32" s="255">
        <f t="shared" si="1"/>
        <v>25</v>
      </c>
      <c r="B32" s="231" t="s">
        <v>917</v>
      </c>
      <c r="C32" s="1227" t="s">
        <v>914</v>
      </c>
      <c r="D32" s="147">
        <v>2</v>
      </c>
      <c r="E32" s="247">
        <v>250</v>
      </c>
      <c r="F32" s="1322">
        <f t="shared" si="0"/>
        <v>500</v>
      </c>
    </row>
    <row r="33" spans="1:7" ht="15.75">
      <c r="A33" s="255">
        <f t="shared" si="1"/>
        <v>26</v>
      </c>
      <c r="B33" s="231" t="s">
        <v>918</v>
      </c>
      <c r="C33" s="1227" t="s">
        <v>914</v>
      </c>
      <c r="D33" s="147">
        <v>2</v>
      </c>
      <c r="E33" s="247">
        <v>240</v>
      </c>
      <c r="F33" s="1322">
        <f t="shared" si="0"/>
        <v>480</v>
      </c>
    </row>
    <row r="34" spans="1:7" ht="15.75" customHeight="1">
      <c r="A34" s="1881" t="s">
        <v>1591</v>
      </c>
      <c r="B34" s="1882"/>
      <c r="C34" s="1882"/>
      <c r="D34" s="1882"/>
      <c r="E34" s="1883"/>
      <c r="F34" s="1321">
        <f>SUM(F35:F52)</f>
        <v>39250.1</v>
      </c>
      <c r="G34" s="1229"/>
    </row>
    <row r="35" spans="1:7" ht="15.75">
      <c r="A35" s="255">
        <v>1</v>
      </c>
      <c r="B35" s="231" t="s">
        <v>921</v>
      </c>
      <c r="C35" s="1227" t="s">
        <v>889</v>
      </c>
      <c r="D35" s="246">
        <v>5</v>
      </c>
      <c r="E35" s="247">
        <v>266</v>
      </c>
      <c r="F35" s="1322">
        <f t="shared" ref="F35:F71" si="2">ROUND(D35*E35,2)</f>
        <v>1330</v>
      </c>
    </row>
    <row r="36" spans="1:7" ht="15.75">
      <c r="A36" s="255">
        <f t="shared" si="1"/>
        <v>2</v>
      </c>
      <c r="B36" s="231" t="s">
        <v>922</v>
      </c>
      <c r="C36" s="1227" t="s">
        <v>889</v>
      </c>
      <c r="D36" s="246">
        <v>2</v>
      </c>
      <c r="E36" s="247">
        <v>756</v>
      </c>
      <c r="F36" s="1322">
        <f t="shared" si="2"/>
        <v>1512</v>
      </c>
    </row>
    <row r="37" spans="1:7" ht="15.75">
      <c r="A37" s="255">
        <f t="shared" si="1"/>
        <v>3</v>
      </c>
      <c r="B37" s="231" t="s">
        <v>923</v>
      </c>
      <c r="C37" s="1227" t="s">
        <v>889</v>
      </c>
      <c r="D37" s="246">
        <v>2</v>
      </c>
      <c r="E37" s="247">
        <v>996</v>
      </c>
      <c r="F37" s="1322">
        <f t="shared" si="2"/>
        <v>1992</v>
      </c>
    </row>
    <row r="38" spans="1:7" ht="15.75">
      <c r="A38" s="255">
        <f t="shared" si="1"/>
        <v>4</v>
      </c>
      <c r="B38" s="231" t="s">
        <v>924</v>
      </c>
      <c r="C38" s="1227" t="s">
        <v>889</v>
      </c>
      <c r="D38" s="246">
        <v>100</v>
      </c>
      <c r="E38" s="247">
        <v>8.5</v>
      </c>
      <c r="F38" s="1322">
        <f t="shared" si="2"/>
        <v>850</v>
      </c>
    </row>
    <row r="39" spans="1:7" ht="31.5">
      <c r="A39" s="255">
        <f t="shared" si="1"/>
        <v>5</v>
      </c>
      <c r="B39" s="231" t="s">
        <v>119</v>
      </c>
      <c r="C39" s="1227" t="s">
        <v>889</v>
      </c>
      <c r="D39" s="246">
        <v>30</v>
      </c>
      <c r="E39" s="247">
        <v>236</v>
      </c>
      <c r="F39" s="1322">
        <f t="shared" si="2"/>
        <v>7080</v>
      </c>
    </row>
    <row r="40" spans="1:7" ht="15.75">
      <c r="A40" s="255">
        <f t="shared" si="1"/>
        <v>6</v>
      </c>
      <c r="B40" s="231" t="s">
        <v>925</v>
      </c>
      <c r="C40" s="1227" t="s">
        <v>889</v>
      </c>
      <c r="D40" s="147">
        <v>15</v>
      </c>
      <c r="E40" s="247">
        <v>79</v>
      </c>
      <c r="F40" s="1322">
        <f t="shared" si="2"/>
        <v>1185</v>
      </c>
    </row>
    <row r="41" spans="1:7" ht="15.75">
      <c r="A41" s="255">
        <f t="shared" si="1"/>
        <v>7</v>
      </c>
      <c r="B41" s="231" t="s">
        <v>926</v>
      </c>
      <c r="C41" s="1227" t="s">
        <v>889</v>
      </c>
      <c r="D41" s="147">
        <v>35</v>
      </c>
      <c r="E41" s="247">
        <v>23.1</v>
      </c>
      <c r="F41" s="1322">
        <f t="shared" si="2"/>
        <v>808.5</v>
      </c>
    </row>
    <row r="42" spans="1:7" ht="47.25">
      <c r="A42" s="255">
        <f t="shared" si="1"/>
        <v>8</v>
      </c>
      <c r="B42" s="231" t="s">
        <v>927</v>
      </c>
      <c r="C42" s="1227" t="s">
        <v>889</v>
      </c>
      <c r="D42" s="246">
        <v>25</v>
      </c>
      <c r="E42" s="247">
        <v>107.1</v>
      </c>
      <c r="F42" s="1322">
        <f t="shared" si="2"/>
        <v>2677.5</v>
      </c>
    </row>
    <row r="43" spans="1:7" ht="31.5">
      <c r="A43" s="255">
        <f t="shared" si="1"/>
        <v>9</v>
      </c>
      <c r="B43" s="231" t="s">
        <v>928</v>
      </c>
      <c r="C43" s="1227" t="s">
        <v>889</v>
      </c>
      <c r="D43" s="246">
        <v>15</v>
      </c>
      <c r="E43" s="247">
        <v>238.5</v>
      </c>
      <c r="F43" s="1322">
        <f t="shared" si="2"/>
        <v>3577.5</v>
      </c>
    </row>
    <row r="44" spans="1:7" ht="35.25" customHeight="1">
      <c r="A44" s="255">
        <f t="shared" si="1"/>
        <v>10</v>
      </c>
      <c r="B44" s="231" t="s">
        <v>929</v>
      </c>
      <c r="C44" s="1227" t="s">
        <v>889</v>
      </c>
      <c r="D44" s="246">
        <v>15</v>
      </c>
      <c r="E44" s="247">
        <v>83</v>
      </c>
      <c r="F44" s="1322">
        <f t="shared" si="2"/>
        <v>1245</v>
      </c>
    </row>
    <row r="45" spans="1:7" ht="47.25">
      <c r="A45" s="255">
        <f t="shared" si="1"/>
        <v>11</v>
      </c>
      <c r="B45" s="231" t="s">
        <v>930</v>
      </c>
      <c r="C45" s="1227" t="s">
        <v>889</v>
      </c>
      <c r="D45" s="246">
        <v>10</v>
      </c>
      <c r="E45" s="247">
        <v>173.58</v>
      </c>
      <c r="F45" s="1322">
        <f t="shared" si="2"/>
        <v>1735.8</v>
      </c>
    </row>
    <row r="46" spans="1:7" ht="15.75">
      <c r="A46" s="255">
        <f t="shared" si="1"/>
        <v>12</v>
      </c>
      <c r="B46" s="231" t="s">
        <v>931</v>
      </c>
      <c r="C46" s="1227" t="s">
        <v>889</v>
      </c>
      <c r="D46" s="246">
        <v>100</v>
      </c>
      <c r="E46" s="247">
        <v>3.5</v>
      </c>
      <c r="F46" s="1322">
        <f t="shared" si="2"/>
        <v>350</v>
      </c>
    </row>
    <row r="47" spans="1:7" ht="17.25" customHeight="1">
      <c r="A47" s="255">
        <f t="shared" si="1"/>
        <v>13</v>
      </c>
      <c r="B47" s="231" t="s">
        <v>932</v>
      </c>
      <c r="C47" s="1227" t="s">
        <v>889</v>
      </c>
      <c r="D47" s="246">
        <v>6</v>
      </c>
      <c r="E47" s="247">
        <v>258</v>
      </c>
      <c r="F47" s="1322">
        <f t="shared" si="2"/>
        <v>1548</v>
      </c>
    </row>
    <row r="48" spans="1:7" ht="15.75" customHeight="1">
      <c r="A48" s="255">
        <f t="shared" si="1"/>
        <v>14</v>
      </c>
      <c r="B48" s="231" t="s">
        <v>933</v>
      </c>
      <c r="C48" s="1227" t="s">
        <v>889</v>
      </c>
      <c r="D48" s="246">
        <v>10</v>
      </c>
      <c r="E48" s="247">
        <v>203</v>
      </c>
      <c r="F48" s="1322">
        <f t="shared" si="2"/>
        <v>2030</v>
      </c>
    </row>
    <row r="49" spans="1:17" ht="31.5">
      <c r="A49" s="255">
        <f t="shared" si="1"/>
        <v>15</v>
      </c>
      <c r="B49" s="231" t="s">
        <v>934</v>
      </c>
      <c r="C49" s="1227" t="s">
        <v>889</v>
      </c>
      <c r="D49" s="246">
        <v>10</v>
      </c>
      <c r="E49" s="247">
        <v>75</v>
      </c>
      <c r="F49" s="1322">
        <f t="shared" si="2"/>
        <v>750</v>
      </c>
    </row>
    <row r="50" spans="1:17" ht="27.75" customHeight="1">
      <c r="A50" s="255">
        <f t="shared" si="1"/>
        <v>16</v>
      </c>
      <c r="B50" s="231" t="s">
        <v>935</v>
      </c>
      <c r="C50" s="1227" t="s">
        <v>889</v>
      </c>
      <c r="D50" s="246">
        <v>6</v>
      </c>
      <c r="E50" s="247">
        <v>147.30000000000001</v>
      </c>
      <c r="F50" s="1322">
        <f t="shared" si="2"/>
        <v>883.8</v>
      </c>
    </row>
    <row r="51" spans="1:17" ht="16.5" customHeight="1">
      <c r="A51" s="255">
        <f t="shared" si="1"/>
        <v>17</v>
      </c>
      <c r="B51" s="231" t="s">
        <v>936</v>
      </c>
      <c r="C51" s="1227" t="s">
        <v>889</v>
      </c>
      <c r="D51" s="246">
        <v>10</v>
      </c>
      <c r="E51" s="247">
        <v>675</v>
      </c>
      <c r="F51" s="1322">
        <f t="shared" si="2"/>
        <v>6750</v>
      </c>
    </row>
    <row r="52" spans="1:17" ht="30.75" customHeight="1">
      <c r="A52" s="255">
        <f t="shared" si="1"/>
        <v>18</v>
      </c>
      <c r="B52" s="231" t="s">
        <v>937</v>
      </c>
      <c r="C52" s="1227" t="s">
        <v>889</v>
      </c>
      <c r="D52" s="246">
        <v>5</v>
      </c>
      <c r="E52" s="247">
        <v>589</v>
      </c>
      <c r="F52" s="1322">
        <f t="shared" si="2"/>
        <v>2945</v>
      </c>
    </row>
    <row r="53" spans="1:17" ht="15.75" customHeight="1">
      <c r="A53" s="255"/>
      <c r="B53" s="1881" t="s">
        <v>881</v>
      </c>
      <c r="C53" s="1884"/>
      <c r="D53" s="1884"/>
      <c r="E53" s="1885"/>
      <c r="F53" s="1321">
        <f>SUM(F54:F88)</f>
        <v>27005.750000000004</v>
      </c>
    </row>
    <row r="54" spans="1:17" ht="19.5" customHeight="1">
      <c r="A54" s="255">
        <f t="shared" si="1"/>
        <v>1</v>
      </c>
      <c r="B54" s="1230" t="s">
        <v>1593</v>
      </c>
      <c r="C54" s="486" t="s">
        <v>1594</v>
      </c>
      <c r="D54" s="486">
        <v>2</v>
      </c>
      <c r="E54" s="486">
        <v>68.87</v>
      </c>
      <c r="F54" s="1322">
        <f t="shared" si="2"/>
        <v>137.74</v>
      </c>
      <c r="G54" s="1231"/>
      <c r="H54" s="1230"/>
      <c r="I54" s="1230"/>
      <c r="J54" s="1230"/>
      <c r="K54" s="1230"/>
      <c r="L54" s="1230"/>
      <c r="M54" s="1230"/>
      <c r="N54" s="1230"/>
      <c r="O54" s="1230"/>
      <c r="P54" s="1230"/>
      <c r="Q54" s="1230"/>
    </row>
    <row r="55" spans="1:17" ht="15.75">
      <c r="A55" s="255">
        <f t="shared" si="1"/>
        <v>2</v>
      </c>
      <c r="B55" s="231" t="s">
        <v>1595</v>
      </c>
      <c r="C55" s="486" t="s">
        <v>1594</v>
      </c>
      <c r="D55" s="246">
        <v>2</v>
      </c>
      <c r="E55" s="247">
        <v>257</v>
      </c>
      <c r="F55" s="1322">
        <f t="shared" si="2"/>
        <v>514</v>
      </c>
    </row>
    <row r="56" spans="1:17" ht="15.75">
      <c r="A56" s="255">
        <f t="shared" si="1"/>
        <v>3</v>
      </c>
      <c r="B56" s="231" t="s">
        <v>1596</v>
      </c>
      <c r="C56" s="486" t="s">
        <v>1594</v>
      </c>
      <c r="D56" s="246">
        <v>20</v>
      </c>
      <c r="E56" s="247">
        <v>30.95</v>
      </c>
      <c r="F56" s="1322">
        <f t="shared" si="2"/>
        <v>619</v>
      </c>
    </row>
    <row r="57" spans="1:17" ht="15.75">
      <c r="A57" s="255">
        <f t="shared" si="1"/>
        <v>4</v>
      </c>
      <c r="B57" s="231" t="s">
        <v>1597</v>
      </c>
      <c r="C57" s="486" t="s">
        <v>1594</v>
      </c>
      <c r="D57" s="246">
        <v>20</v>
      </c>
      <c r="E57" s="247">
        <v>22</v>
      </c>
      <c r="F57" s="1322">
        <f t="shared" si="2"/>
        <v>440</v>
      </c>
    </row>
    <row r="58" spans="1:17" ht="15.75">
      <c r="A58" s="255">
        <f t="shared" si="1"/>
        <v>5</v>
      </c>
      <c r="B58" s="231" t="s">
        <v>1598</v>
      </c>
      <c r="C58" s="486" t="s">
        <v>1594</v>
      </c>
      <c r="D58" s="246">
        <v>100</v>
      </c>
      <c r="E58" s="247">
        <v>14</v>
      </c>
      <c r="F58" s="1322">
        <f t="shared" si="2"/>
        <v>1400</v>
      </c>
    </row>
    <row r="59" spans="1:17" ht="15.75">
      <c r="A59" s="255">
        <f t="shared" si="1"/>
        <v>6</v>
      </c>
      <c r="B59" s="231" t="s">
        <v>1599</v>
      </c>
      <c r="C59" s="486" t="s">
        <v>1594</v>
      </c>
      <c r="D59" s="246">
        <v>50</v>
      </c>
      <c r="E59" s="247">
        <v>21.04</v>
      </c>
      <c r="F59" s="1322">
        <f t="shared" si="2"/>
        <v>1052</v>
      </c>
    </row>
    <row r="60" spans="1:17" ht="15.75" customHeight="1">
      <c r="A60" s="255">
        <f t="shared" si="1"/>
        <v>7</v>
      </c>
      <c r="B60" s="231" t="s">
        <v>1600</v>
      </c>
      <c r="C60" s="486" t="s">
        <v>1594</v>
      </c>
      <c r="D60" s="246">
        <v>25</v>
      </c>
      <c r="E60" s="247">
        <v>15.89</v>
      </c>
      <c r="F60" s="1322">
        <f t="shared" si="2"/>
        <v>397.25</v>
      </c>
    </row>
    <row r="61" spans="1:17" ht="15.75" customHeight="1">
      <c r="A61" s="255">
        <f t="shared" si="1"/>
        <v>8</v>
      </c>
      <c r="B61" s="257" t="s">
        <v>1601</v>
      </c>
      <c r="C61" s="486" t="s">
        <v>1594</v>
      </c>
      <c r="D61" s="147">
        <v>10</v>
      </c>
      <c r="E61" s="247">
        <v>17.010000000000002</v>
      </c>
      <c r="F61" s="1323">
        <f t="shared" si="2"/>
        <v>170.1</v>
      </c>
    </row>
    <row r="62" spans="1:17" ht="15.75">
      <c r="A62" s="255">
        <f t="shared" si="1"/>
        <v>9</v>
      </c>
      <c r="B62" s="257" t="s">
        <v>1602</v>
      </c>
      <c r="C62" s="486" t="s">
        <v>1594</v>
      </c>
      <c r="D62" s="147">
        <v>50</v>
      </c>
      <c r="E62" s="247">
        <v>77</v>
      </c>
      <c r="F62" s="1323">
        <f t="shared" si="2"/>
        <v>3850</v>
      </c>
    </row>
    <row r="63" spans="1:17" ht="15.75">
      <c r="A63" s="255">
        <f t="shared" si="1"/>
        <v>10</v>
      </c>
      <c r="B63" s="257" t="s">
        <v>1603</v>
      </c>
      <c r="C63" s="486" t="s">
        <v>1594</v>
      </c>
      <c r="D63" s="147">
        <v>20</v>
      </c>
      <c r="E63" s="247">
        <v>17</v>
      </c>
      <c r="F63" s="1323">
        <f t="shared" si="2"/>
        <v>340</v>
      </c>
    </row>
    <row r="64" spans="1:17" ht="15.75">
      <c r="A64" s="255">
        <f t="shared" si="1"/>
        <v>11</v>
      </c>
      <c r="B64" s="257" t="s">
        <v>1604</v>
      </c>
      <c r="C64" s="486" t="s">
        <v>1594</v>
      </c>
      <c r="D64" s="147">
        <v>10</v>
      </c>
      <c r="E64" s="247">
        <v>234.92</v>
      </c>
      <c r="F64" s="1323">
        <f t="shared" si="2"/>
        <v>2349.1999999999998</v>
      </c>
    </row>
    <row r="65" spans="1:6" ht="15.75">
      <c r="A65" s="255">
        <f t="shared" si="1"/>
        <v>12</v>
      </c>
      <c r="B65" s="257" t="s">
        <v>1605</v>
      </c>
      <c r="C65" s="486" t="s">
        <v>1594</v>
      </c>
      <c r="D65" s="147">
        <v>10</v>
      </c>
      <c r="E65" s="247">
        <v>195</v>
      </c>
      <c r="F65" s="1323">
        <f t="shared" si="2"/>
        <v>1950</v>
      </c>
    </row>
    <row r="66" spans="1:6" ht="15.75">
      <c r="A66" s="255">
        <f t="shared" si="1"/>
        <v>13</v>
      </c>
      <c r="B66" s="257" t="s">
        <v>1592</v>
      </c>
      <c r="C66" s="486" t="s">
        <v>1594</v>
      </c>
      <c r="D66" s="147">
        <v>10</v>
      </c>
      <c r="E66" s="247">
        <v>58.5</v>
      </c>
      <c r="F66" s="1323">
        <f t="shared" si="2"/>
        <v>585</v>
      </c>
    </row>
    <row r="67" spans="1:6" ht="15.75">
      <c r="A67" s="255">
        <f t="shared" si="1"/>
        <v>14</v>
      </c>
      <c r="B67" s="257" t="s">
        <v>1606</v>
      </c>
      <c r="C67" s="486" t="s">
        <v>1594</v>
      </c>
      <c r="D67" s="147">
        <v>5</v>
      </c>
      <c r="E67" s="247">
        <v>22.28</v>
      </c>
      <c r="F67" s="1323">
        <f t="shared" si="2"/>
        <v>111.4</v>
      </c>
    </row>
    <row r="68" spans="1:6" ht="15.75">
      <c r="A68" s="255">
        <f t="shared" si="1"/>
        <v>15</v>
      </c>
      <c r="B68" s="257" t="s">
        <v>1607</v>
      </c>
      <c r="C68" s="486" t="s">
        <v>1594</v>
      </c>
      <c r="D68" s="147">
        <v>5</v>
      </c>
      <c r="E68" s="247">
        <v>29.98</v>
      </c>
      <c r="F68" s="1323">
        <f t="shared" si="2"/>
        <v>149.9</v>
      </c>
    </row>
    <row r="69" spans="1:6" ht="15.75">
      <c r="A69" s="255">
        <f t="shared" si="1"/>
        <v>16</v>
      </c>
      <c r="B69" s="257" t="s">
        <v>1608</v>
      </c>
      <c r="C69" s="486" t="s">
        <v>1594</v>
      </c>
      <c r="D69" s="147">
        <v>10</v>
      </c>
      <c r="E69" s="247">
        <v>23</v>
      </c>
      <c r="F69" s="1323">
        <f t="shared" si="2"/>
        <v>230</v>
      </c>
    </row>
    <row r="70" spans="1:6" ht="15.75">
      <c r="A70" s="255">
        <f t="shared" si="1"/>
        <v>17</v>
      </c>
      <c r="B70" s="257" t="s">
        <v>1609</v>
      </c>
      <c r="C70" s="486" t="s">
        <v>1594</v>
      </c>
      <c r="D70" s="147">
        <v>20</v>
      </c>
      <c r="E70" s="247">
        <v>110.23</v>
      </c>
      <c r="F70" s="1323">
        <f t="shared" si="2"/>
        <v>2204.6</v>
      </c>
    </row>
    <row r="71" spans="1:6" ht="15.75">
      <c r="A71" s="255">
        <f t="shared" si="1"/>
        <v>18</v>
      </c>
      <c r="B71" s="257" t="s">
        <v>1610</v>
      </c>
      <c r="C71" s="486" t="s">
        <v>1594</v>
      </c>
      <c r="D71" s="147">
        <v>20</v>
      </c>
      <c r="E71" s="247">
        <v>180.4</v>
      </c>
      <c r="F71" s="1323">
        <f t="shared" si="2"/>
        <v>3608</v>
      </c>
    </row>
    <row r="72" spans="1:6" ht="15.75">
      <c r="A72" s="255">
        <f t="shared" si="1"/>
        <v>19</v>
      </c>
      <c r="B72" s="257" t="s">
        <v>1611</v>
      </c>
      <c r="C72" s="486" t="s">
        <v>1594</v>
      </c>
      <c r="D72" s="147">
        <v>2</v>
      </c>
      <c r="E72" s="247">
        <v>151.80000000000001</v>
      </c>
      <c r="F72" s="1323">
        <f t="shared" ref="F72:F119" si="3">ROUND(D72*E72,2)</f>
        <v>303.60000000000002</v>
      </c>
    </row>
    <row r="73" spans="1:6" ht="15.75">
      <c r="A73" s="255">
        <f t="shared" si="1"/>
        <v>20</v>
      </c>
      <c r="B73" s="257" t="s">
        <v>1612</v>
      </c>
      <c r="C73" s="486" t="s">
        <v>1594</v>
      </c>
      <c r="D73" s="147">
        <v>3</v>
      </c>
      <c r="E73" s="247">
        <v>57</v>
      </c>
      <c r="F73" s="1323">
        <f t="shared" si="3"/>
        <v>171</v>
      </c>
    </row>
    <row r="74" spans="1:6" ht="15.75">
      <c r="A74" s="255">
        <f t="shared" ref="A74:A137" si="4">A73+1</f>
        <v>21</v>
      </c>
      <c r="B74" s="257" t="s">
        <v>1613</v>
      </c>
      <c r="C74" s="486" t="s">
        <v>1594</v>
      </c>
      <c r="D74" s="147">
        <v>3</v>
      </c>
      <c r="E74" s="247">
        <v>137.99</v>
      </c>
      <c r="F74" s="1323">
        <f t="shared" si="3"/>
        <v>413.97</v>
      </c>
    </row>
    <row r="75" spans="1:6" ht="15.75">
      <c r="A75" s="255">
        <f t="shared" si="4"/>
        <v>22</v>
      </c>
      <c r="B75" s="257" t="s">
        <v>1614</v>
      </c>
      <c r="C75" s="486" t="s">
        <v>1594</v>
      </c>
      <c r="D75" s="147">
        <v>10</v>
      </c>
      <c r="E75" s="247">
        <v>7.02</v>
      </c>
      <c r="F75" s="1323">
        <f t="shared" si="3"/>
        <v>70.2</v>
      </c>
    </row>
    <row r="76" spans="1:6" ht="15.75">
      <c r="A76" s="255">
        <f t="shared" si="4"/>
        <v>23</v>
      </c>
      <c r="B76" s="257" t="s">
        <v>1615</v>
      </c>
      <c r="C76" s="486" t="s">
        <v>1594</v>
      </c>
      <c r="D76" s="147">
        <v>50</v>
      </c>
      <c r="E76" s="247">
        <v>20</v>
      </c>
      <c r="F76" s="1323">
        <f t="shared" si="3"/>
        <v>1000</v>
      </c>
    </row>
    <row r="77" spans="1:6" ht="31.5">
      <c r="A77" s="255">
        <f t="shared" si="4"/>
        <v>24</v>
      </c>
      <c r="B77" s="257" t="s">
        <v>1616</v>
      </c>
      <c r="C77" s="486" t="s">
        <v>1594</v>
      </c>
      <c r="D77" s="246">
        <v>5</v>
      </c>
      <c r="E77" s="247">
        <v>45.03</v>
      </c>
      <c r="F77" s="1323">
        <f t="shared" si="3"/>
        <v>225.15</v>
      </c>
    </row>
    <row r="78" spans="1:6" ht="31.5">
      <c r="A78" s="255">
        <f t="shared" si="4"/>
        <v>25</v>
      </c>
      <c r="B78" s="257" t="s">
        <v>1617</v>
      </c>
      <c r="C78" s="486" t="s">
        <v>1594</v>
      </c>
      <c r="D78" s="246">
        <v>5</v>
      </c>
      <c r="E78" s="247">
        <v>95.7</v>
      </c>
      <c r="F78" s="1323">
        <f t="shared" si="3"/>
        <v>478.5</v>
      </c>
    </row>
    <row r="79" spans="1:6" ht="15.75">
      <c r="A79" s="255">
        <f t="shared" si="4"/>
        <v>26</v>
      </c>
      <c r="B79" s="257" t="s">
        <v>1618</v>
      </c>
      <c r="C79" s="486" t="s">
        <v>1594</v>
      </c>
      <c r="D79" s="147">
        <v>3</v>
      </c>
      <c r="E79" s="247">
        <v>192.5</v>
      </c>
      <c r="F79" s="1323">
        <f t="shared" si="3"/>
        <v>577.5</v>
      </c>
    </row>
    <row r="80" spans="1:6" ht="15.75">
      <c r="A80" s="255">
        <f t="shared" si="4"/>
        <v>27</v>
      </c>
      <c r="B80" s="257" t="s">
        <v>1619</v>
      </c>
      <c r="C80" s="486" t="s">
        <v>1594</v>
      </c>
      <c r="D80" s="147">
        <v>10</v>
      </c>
      <c r="E80" s="247">
        <v>5.19</v>
      </c>
      <c r="F80" s="1323">
        <f t="shared" si="3"/>
        <v>51.9</v>
      </c>
    </row>
    <row r="81" spans="1:6" ht="15.75">
      <c r="A81" s="255">
        <f t="shared" si="4"/>
        <v>28</v>
      </c>
      <c r="B81" s="257" t="s">
        <v>1620</v>
      </c>
      <c r="C81" s="486" t="s">
        <v>1594</v>
      </c>
      <c r="D81" s="147">
        <v>10</v>
      </c>
      <c r="E81" s="247">
        <v>11.33</v>
      </c>
      <c r="F81" s="1323">
        <f t="shared" si="3"/>
        <v>113.3</v>
      </c>
    </row>
    <row r="82" spans="1:6" ht="15.75">
      <c r="A82" s="255">
        <f t="shared" si="4"/>
        <v>29</v>
      </c>
      <c r="B82" s="257" t="s">
        <v>1621</v>
      </c>
      <c r="C82" s="486" t="s">
        <v>1594</v>
      </c>
      <c r="D82" s="147">
        <v>3</v>
      </c>
      <c r="E82" s="247">
        <v>25.68</v>
      </c>
      <c r="F82" s="1323">
        <f t="shared" si="3"/>
        <v>77.040000000000006</v>
      </c>
    </row>
    <row r="83" spans="1:6" ht="15.75">
      <c r="A83" s="255">
        <f t="shared" si="4"/>
        <v>30</v>
      </c>
      <c r="B83" s="257" t="s">
        <v>1622</v>
      </c>
      <c r="C83" s="486" t="s">
        <v>1594</v>
      </c>
      <c r="D83" s="147">
        <v>50</v>
      </c>
      <c r="E83" s="247">
        <v>38</v>
      </c>
      <c r="F83" s="1323">
        <f t="shared" si="3"/>
        <v>1900</v>
      </c>
    </row>
    <row r="84" spans="1:6" ht="15.75">
      <c r="A84" s="255">
        <f t="shared" si="4"/>
        <v>31</v>
      </c>
      <c r="B84" s="257" t="s">
        <v>329</v>
      </c>
      <c r="C84" s="486" t="s">
        <v>1594</v>
      </c>
      <c r="D84" s="147">
        <v>5</v>
      </c>
      <c r="E84" s="247">
        <v>23.68</v>
      </c>
      <c r="F84" s="1323">
        <f t="shared" si="3"/>
        <v>118.4</v>
      </c>
    </row>
    <row r="85" spans="1:6" ht="31.5">
      <c r="A85" s="255">
        <f t="shared" si="4"/>
        <v>32</v>
      </c>
      <c r="B85" s="257" t="s">
        <v>330</v>
      </c>
      <c r="C85" s="486" t="s">
        <v>1594</v>
      </c>
      <c r="D85" s="246">
        <v>3</v>
      </c>
      <c r="E85" s="247">
        <v>59</v>
      </c>
      <c r="F85" s="1323">
        <f t="shared" si="3"/>
        <v>177</v>
      </c>
    </row>
    <row r="86" spans="1:6" ht="15.75">
      <c r="A86" s="255">
        <f t="shared" si="4"/>
        <v>33</v>
      </c>
      <c r="B86" s="257" t="s">
        <v>331</v>
      </c>
      <c r="C86" s="486" t="s">
        <v>1594</v>
      </c>
      <c r="D86" s="246">
        <v>20</v>
      </c>
      <c r="E86" s="247">
        <v>35</v>
      </c>
      <c r="F86" s="1323">
        <f t="shared" si="3"/>
        <v>700</v>
      </c>
    </row>
    <row r="87" spans="1:6" ht="15.75">
      <c r="A87" s="255">
        <f t="shared" si="4"/>
        <v>34</v>
      </c>
      <c r="B87" s="257" t="s">
        <v>332</v>
      </c>
      <c r="C87" s="486" t="s">
        <v>1594</v>
      </c>
      <c r="D87" s="246">
        <v>50</v>
      </c>
      <c r="E87" s="247">
        <v>8</v>
      </c>
      <c r="F87" s="1323">
        <f t="shared" si="3"/>
        <v>400</v>
      </c>
    </row>
    <row r="88" spans="1:6" ht="15.75">
      <c r="A88" s="255">
        <f t="shared" si="4"/>
        <v>35</v>
      </c>
      <c r="B88" s="257" t="s">
        <v>333</v>
      </c>
      <c r="C88" s="486" t="s">
        <v>1594</v>
      </c>
      <c r="D88" s="246">
        <v>10</v>
      </c>
      <c r="E88" s="247">
        <v>12</v>
      </c>
      <c r="F88" s="1323">
        <f t="shared" si="3"/>
        <v>120</v>
      </c>
    </row>
    <row r="89" spans="1:6" ht="15.75" customHeight="1">
      <c r="A89" s="255"/>
      <c r="B89" s="1871" t="s">
        <v>882</v>
      </c>
      <c r="C89" s="1482"/>
      <c r="D89" s="1482"/>
      <c r="E89" s="1872"/>
      <c r="F89" s="1321">
        <f>SUM(F90:F119)</f>
        <v>25292.89</v>
      </c>
    </row>
    <row r="90" spans="1:6" ht="15.75">
      <c r="A90" s="255">
        <v>1</v>
      </c>
      <c r="B90" s="257" t="s">
        <v>543</v>
      </c>
      <c r="C90" s="147" t="s">
        <v>1594</v>
      </c>
      <c r="D90" s="147">
        <v>10</v>
      </c>
      <c r="E90" s="247">
        <v>23</v>
      </c>
      <c r="F90" s="1323">
        <f t="shared" si="3"/>
        <v>230</v>
      </c>
    </row>
    <row r="91" spans="1:6" ht="15.75">
      <c r="A91" s="255">
        <f t="shared" si="4"/>
        <v>2</v>
      </c>
      <c r="B91" s="257" t="s">
        <v>545</v>
      </c>
      <c r="C91" s="147" t="s">
        <v>1594</v>
      </c>
      <c r="D91" s="147">
        <v>20</v>
      </c>
      <c r="E91" s="247">
        <v>28.99</v>
      </c>
      <c r="F91" s="1323">
        <f t="shared" si="3"/>
        <v>579.79999999999995</v>
      </c>
    </row>
    <row r="92" spans="1:6" ht="15.75">
      <c r="A92" s="255">
        <f t="shared" si="4"/>
        <v>3</v>
      </c>
      <c r="B92" s="257" t="s">
        <v>544</v>
      </c>
      <c r="C92" s="147" t="s">
        <v>1594</v>
      </c>
      <c r="D92" s="147">
        <v>10</v>
      </c>
      <c r="E92" s="247">
        <v>30.99</v>
      </c>
      <c r="F92" s="1323">
        <f t="shared" si="3"/>
        <v>309.89999999999998</v>
      </c>
    </row>
    <row r="93" spans="1:6" ht="15.75">
      <c r="A93" s="255">
        <f t="shared" si="4"/>
        <v>4</v>
      </c>
      <c r="B93" s="257" t="s">
        <v>546</v>
      </c>
      <c r="C93" s="147" t="s">
        <v>1594</v>
      </c>
      <c r="D93" s="147">
        <v>20</v>
      </c>
      <c r="E93" s="247">
        <v>20.99</v>
      </c>
      <c r="F93" s="1323">
        <f t="shared" si="3"/>
        <v>419.8</v>
      </c>
    </row>
    <row r="94" spans="1:6" ht="15.75">
      <c r="A94" s="255">
        <f t="shared" si="4"/>
        <v>5</v>
      </c>
      <c r="B94" s="257" t="s">
        <v>547</v>
      </c>
      <c r="C94" s="147" t="s">
        <v>1594</v>
      </c>
      <c r="D94" s="147">
        <v>1</v>
      </c>
      <c r="E94" s="247">
        <v>168</v>
      </c>
      <c r="F94" s="1323">
        <f t="shared" si="3"/>
        <v>168</v>
      </c>
    </row>
    <row r="95" spans="1:6" ht="15.75">
      <c r="A95" s="255">
        <f t="shared" si="4"/>
        <v>6</v>
      </c>
      <c r="B95" s="257" t="s">
        <v>548</v>
      </c>
      <c r="C95" s="147" t="s">
        <v>1594</v>
      </c>
      <c r="D95" s="147">
        <v>10</v>
      </c>
      <c r="E95" s="247">
        <v>53.99</v>
      </c>
      <c r="F95" s="1323">
        <f t="shared" si="3"/>
        <v>539.9</v>
      </c>
    </row>
    <row r="96" spans="1:6" ht="15.75">
      <c r="A96" s="255">
        <f t="shared" si="4"/>
        <v>7</v>
      </c>
      <c r="B96" s="257" t="s">
        <v>549</v>
      </c>
      <c r="C96" s="147" t="s">
        <v>1594</v>
      </c>
      <c r="D96" s="147">
        <v>10</v>
      </c>
      <c r="E96" s="247">
        <v>67</v>
      </c>
      <c r="F96" s="1323">
        <f t="shared" si="3"/>
        <v>670</v>
      </c>
    </row>
    <row r="97" spans="1:6" ht="15.75">
      <c r="A97" s="255">
        <f t="shared" si="4"/>
        <v>8</v>
      </c>
      <c r="B97" s="257" t="s">
        <v>550</v>
      </c>
      <c r="C97" s="147" t="s">
        <v>1594</v>
      </c>
      <c r="D97" s="147">
        <v>5</v>
      </c>
      <c r="E97" s="247">
        <v>94.98</v>
      </c>
      <c r="F97" s="1323">
        <f t="shared" si="3"/>
        <v>474.9</v>
      </c>
    </row>
    <row r="98" spans="1:6" ht="15.75">
      <c r="A98" s="255">
        <f t="shared" si="4"/>
        <v>9</v>
      </c>
      <c r="B98" s="257" t="s">
        <v>551</v>
      </c>
      <c r="C98" s="147" t="s">
        <v>1594</v>
      </c>
      <c r="D98" s="147">
        <v>5</v>
      </c>
      <c r="E98" s="247">
        <v>115</v>
      </c>
      <c r="F98" s="1323">
        <f t="shared" si="3"/>
        <v>575</v>
      </c>
    </row>
    <row r="99" spans="1:6" ht="15.75">
      <c r="A99" s="255">
        <f t="shared" si="4"/>
        <v>10</v>
      </c>
      <c r="B99" s="257" t="s">
        <v>552</v>
      </c>
      <c r="C99" s="147" t="s">
        <v>1594</v>
      </c>
      <c r="D99" s="147">
        <v>3</v>
      </c>
      <c r="E99" s="247">
        <v>126</v>
      </c>
      <c r="F99" s="1323">
        <f t="shared" si="3"/>
        <v>378</v>
      </c>
    </row>
    <row r="100" spans="1:6" ht="15.75">
      <c r="A100" s="255">
        <f t="shared" si="4"/>
        <v>11</v>
      </c>
      <c r="B100" s="257" t="s">
        <v>553</v>
      </c>
      <c r="C100" s="147" t="s">
        <v>1594</v>
      </c>
      <c r="D100" s="147">
        <v>2</v>
      </c>
      <c r="E100" s="247">
        <v>30.01</v>
      </c>
      <c r="F100" s="1323">
        <f t="shared" si="3"/>
        <v>60.02</v>
      </c>
    </row>
    <row r="101" spans="1:6" ht="15.75">
      <c r="A101" s="255">
        <f t="shared" si="4"/>
        <v>12</v>
      </c>
      <c r="B101" s="257" t="s">
        <v>554</v>
      </c>
      <c r="C101" s="147" t="s">
        <v>1594</v>
      </c>
      <c r="D101" s="147">
        <v>10</v>
      </c>
      <c r="E101" s="247">
        <v>6</v>
      </c>
      <c r="F101" s="1323">
        <f t="shared" si="3"/>
        <v>60</v>
      </c>
    </row>
    <row r="102" spans="1:6" ht="15.75">
      <c r="A102" s="255">
        <f t="shared" si="4"/>
        <v>13</v>
      </c>
      <c r="B102" s="257" t="s">
        <v>555</v>
      </c>
      <c r="C102" s="147" t="s">
        <v>1594</v>
      </c>
      <c r="D102" s="147">
        <v>10</v>
      </c>
      <c r="E102" s="247">
        <v>6</v>
      </c>
      <c r="F102" s="1323">
        <f t="shared" si="3"/>
        <v>60</v>
      </c>
    </row>
    <row r="103" spans="1:6" ht="31.5">
      <c r="A103" s="255">
        <f t="shared" si="4"/>
        <v>14</v>
      </c>
      <c r="B103" s="169" t="s">
        <v>556</v>
      </c>
      <c r="C103" s="147" t="s">
        <v>1594</v>
      </c>
      <c r="D103" s="1232">
        <v>5</v>
      </c>
      <c r="E103" s="247">
        <v>19.989999999999998</v>
      </c>
      <c r="F103" s="1323">
        <f t="shared" si="3"/>
        <v>99.95</v>
      </c>
    </row>
    <row r="104" spans="1:6" ht="31.5">
      <c r="A104" s="255">
        <f t="shared" si="4"/>
        <v>15</v>
      </c>
      <c r="B104" s="169" t="s">
        <v>557</v>
      </c>
      <c r="C104" s="147" t="s">
        <v>1594</v>
      </c>
      <c r="D104" s="1232">
        <v>5</v>
      </c>
      <c r="E104" s="247">
        <v>19.989999999999998</v>
      </c>
      <c r="F104" s="1323">
        <f t="shared" si="3"/>
        <v>99.95</v>
      </c>
    </row>
    <row r="105" spans="1:6" ht="15.75">
      <c r="A105" s="255">
        <f t="shared" si="4"/>
        <v>16</v>
      </c>
      <c r="B105" s="257" t="s">
        <v>558</v>
      </c>
      <c r="C105" s="147" t="s">
        <v>1594</v>
      </c>
      <c r="D105" s="1232">
        <v>10</v>
      </c>
      <c r="E105" s="247">
        <v>42.99</v>
      </c>
      <c r="F105" s="1323">
        <f t="shared" si="3"/>
        <v>429.9</v>
      </c>
    </row>
    <row r="106" spans="1:6" ht="15.75">
      <c r="A106" s="255">
        <f t="shared" si="4"/>
        <v>17</v>
      </c>
      <c r="B106" s="257" t="s">
        <v>559</v>
      </c>
      <c r="C106" s="147" t="s">
        <v>1594</v>
      </c>
      <c r="D106" s="1232">
        <v>3</v>
      </c>
      <c r="E106" s="247">
        <v>5.99</v>
      </c>
      <c r="F106" s="1323">
        <f t="shared" si="3"/>
        <v>17.97</v>
      </c>
    </row>
    <row r="107" spans="1:6" ht="15.75">
      <c r="A107" s="255">
        <f t="shared" si="4"/>
        <v>18</v>
      </c>
      <c r="B107" s="257" t="s">
        <v>560</v>
      </c>
      <c r="C107" s="147" t="s">
        <v>1594</v>
      </c>
      <c r="D107" s="1232">
        <v>9</v>
      </c>
      <c r="E107" s="247">
        <v>4</v>
      </c>
      <c r="F107" s="1323">
        <f t="shared" si="3"/>
        <v>36</v>
      </c>
    </row>
    <row r="108" spans="1:6" ht="15.75">
      <c r="A108" s="255">
        <f t="shared" si="4"/>
        <v>19</v>
      </c>
      <c r="B108" s="257" t="s">
        <v>561</v>
      </c>
      <c r="C108" s="147" t="s">
        <v>1594</v>
      </c>
      <c r="D108" s="1232">
        <v>10</v>
      </c>
      <c r="E108" s="247">
        <v>8.99</v>
      </c>
      <c r="F108" s="1323">
        <f t="shared" si="3"/>
        <v>89.9</v>
      </c>
    </row>
    <row r="109" spans="1:6" ht="15.75">
      <c r="A109" s="255">
        <f t="shared" si="4"/>
        <v>20</v>
      </c>
      <c r="B109" s="257" t="s">
        <v>562</v>
      </c>
      <c r="C109" s="147" t="s">
        <v>1594</v>
      </c>
      <c r="D109" s="1232">
        <v>10</v>
      </c>
      <c r="E109" s="247">
        <v>36</v>
      </c>
      <c r="F109" s="1323">
        <f t="shared" si="3"/>
        <v>360</v>
      </c>
    </row>
    <row r="110" spans="1:6" ht="15.75">
      <c r="A110" s="255">
        <f t="shared" si="4"/>
        <v>21</v>
      </c>
      <c r="B110" s="257" t="s">
        <v>563</v>
      </c>
      <c r="C110" s="147" t="s">
        <v>1594</v>
      </c>
      <c r="D110" s="1232">
        <v>10</v>
      </c>
      <c r="E110" s="247">
        <v>67</v>
      </c>
      <c r="F110" s="1323">
        <f t="shared" si="3"/>
        <v>670</v>
      </c>
    </row>
    <row r="111" spans="1:6" ht="15.75">
      <c r="A111" s="255">
        <f t="shared" si="4"/>
        <v>22</v>
      </c>
      <c r="B111" s="257" t="s">
        <v>564</v>
      </c>
      <c r="C111" s="147" t="s">
        <v>1594</v>
      </c>
      <c r="D111" s="1232">
        <v>10</v>
      </c>
      <c r="E111" s="247">
        <v>38.99</v>
      </c>
      <c r="F111" s="1323">
        <f t="shared" si="3"/>
        <v>389.9</v>
      </c>
    </row>
    <row r="112" spans="1:6" ht="15.75">
      <c r="A112" s="255">
        <f t="shared" si="4"/>
        <v>23</v>
      </c>
      <c r="B112" s="257" t="s">
        <v>565</v>
      </c>
      <c r="C112" s="147" t="s">
        <v>1594</v>
      </c>
      <c r="D112" s="1232">
        <v>3</v>
      </c>
      <c r="E112" s="247">
        <v>248</v>
      </c>
      <c r="F112" s="1323">
        <f t="shared" si="3"/>
        <v>744</v>
      </c>
    </row>
    <row r="113" spans="1:6" ht="15.75">
      <c r="A113" s="255">
        <f t="shared" si="4"/>
        <v>24</v>
      </c>
      <c r="B113" s="257" t="s">
        <v>566</v>
      </c>
      <c r="C113" s="147" t="s">
        <v>1594</v>
      </c>
      <c r="D113" s="1232">
        <v>10</v>
      </c>
      <c r="E113" s="247">
        <v>16</v>
      </c>
      <c r="F113" s="1323">
        <f t="shared" si="3"/>
        <v>160</v>
      </c>
    </row>
    <row r="114" spans="1:6" ht="15.75">
      <c r="A114" s="255">
        <f t="shared" si="4"/>
        <v>25</v>
      </c>
      <c r="B114" s="257" t="s">
        <v>567</v>
      </c>
      <c r="C114" s="147" t="s">
        <v>1594</v>
      </c>
      <c r="D114" s="147">
        <v>10</v>
      </c>
      <c r="E114" s="247">
        <v>22</v>
      </c>
      <c r="F114" s="1323">
        <f t="shared" si="3"/>
        <v>220</v>
      </c>
    </row>
    <row r="115" spans="1:6" ht="15.75">
      <c r="A115" s="255">
        <f t="shared" si="4"/>
        <v>26</v>
      </c>
      <c r="B115" s="257" t="s">
        <v>568</v>
      </c>
      <c r="C115" s="147" t="s">
        <v>1594</v>
      </c>
      <c r="D115" s="147">
        <v>10</v>
      </c>
      <c r="E115" s="247">
        <v>11</v>
      </c>
      <c r="F115" s="1323">
        <f t="shared" si="3"/>
        <v>110</v>
      </c>
    </row>
    <row r="116" spans="1:6" ht="15.75">
      <c r="A116" s="255">
        <f t="shared" si="4"/>
        <v>27</v>
      </c>
      <c r="B116" s="257" t="s">
        <v>569</v>
      </c>
      <c r="C116" s="147" t="s">
        <v>1594</v>
      </c>
      <c r="D116" s="147">
        <v>10</v>
      </c>
      <c r="E116" s="247">
        <v>12</v>
      </c>
      <c r="F116" s="1323">
        <f t="shared" si="3"/>
        <v>120</v>
      </c>
    </row>
    <row r="117" spans="1:6" ht="31.5">
      <c r="A117" s="255">
        <f t="shared" si="4"/>
        <v>28</v>
      </c>
      <c r="B117" s="257" t="s">
        <v>1944</v>
      </c>
      <c r="C117" s="147" t="s">
        <v>889</v>
      </c>
      <c r="D117" s="147">
        <v>6</v>
      </c>
      <c r="E117" s="247">
        <v>1590</v>
      </c>
      <c r="F117" s="1323">
        <f t="shared" si="3"/>
        <v>9540</v>
      </c>
    </row>
    <row r="118" spans="1:6" ht="31.5">
      <c r="A118" s="255">
        <f t="shared" si="4"/>
        <v>29</v>
      </c>
      <c r="B118" s="257" t="s">
        <v>1945</v>
      </c>
      <c r="C118" s="147" t="s">
        <v>889</v>
      </c>
      <c r="D118" s="147">
        <v>6</v>
      </c>
      <c r="E118" s="247">
        <v>640</v>
      </c>
      <c r="F118" s="1323">
        <f t="shared" si="3"/>
        <v>3840</v>
      </c>
    </row>
    <row r="119" spans="1:6" ht="31.5">
      <c r="A119" s="255">
        <f t="shared" si="4"/>
        <v>30</v>
      </c>
      <c r="B119" s="257" t="s">
        <v>1946</v>
      </c>
      <c r="C119" s="147" t="s">
        <v>889</v>
      </c>
      <c r="D119" s="147">
        <v>12</v>
      </c>
      <c r="E119" s="247">
        <v>320</v>
      </c>
      <c r="F119" s="1323">
        <f t="shared" si="3"/>
        <v>3840</v>
      </c>
    </row>
    <row r="120" spans="1:6" ht="15.75">
      <c r="A120" s="255"/>
      <c r="B120" s="1871" t="s">
        <v>570</v>
      </c>
      <c r="C120" s="1482"/>
      <c r="D120" s="1482"/>
      <c r="E120" s="1872"/>
      <c r="F120" s="1321">
        <f>SUM(F121:F157)</f>
        <v>21794.999999999996</v>
      </c>
    </row>
    <row r="121" spans="1:6" ht="15.75">
      <c r="A121" s="255">
        <f t="shared" si="4"/>
        <v>1</v>
      </c>
      <c r="B121" s="364" t="s">
        <v>609</v>
      </c>
      <c r="C121" s="318" t="s">
        <v>889</v>
      </c>
      <c r="D121" s="318">
        <v>10</v>
      </c>
      <c r="E121" s="500">
        <v>20.7</v>
      </c>
      <c r="F121" s="462">
        <f>E121*D121</f>
        <v>207</v>
      </c>
    </row>
    <row r="122" spans="1:6" ht="15.75">
      <c r="A122" s="255">
        <f t="shared" si="4"/>
        <v>2</v>
      </c>
      <c r="B122" s="364" t="s">
        <v>608</v>
      </c>
      <c r="C122" s="318" t="s">
        <v>889</v>
      </c>
      <c r="D122" s="318">
        <v>50</v>
      </c>
      <c r="E122" s="500">
        <v>210</v>
      </c>
      <c r="F122" s="462">
        <f t="shared" ref="F122:F185" si="5">E122*D122</f>
        <v>10500</v>
      </c>
    </row>
    <row r="123" spans="1:6" ht="15.75">
      <c r="A123" s="255">
        <f t="shared" si="4"/>
        <v>3</v>
      </c>
      <c r="B123" s="347" t="s">
        <v>607</v>
      </c>
      <c r="C123" s="317" t="s">
        <v>889</v>
      </c>
      <c r="D123" s="318">
        <v>5</v>
      </c>
      <c r="E123" s="500">
        <v>39.6</v>
      </c>
      <c r="F123" s="462">
        <f t="shared" si="5"/>
        <v>198</v>
      </c>
    </row>
    <row r="124" spans="1:6" ht="15.75">
      <c r="A124" s="255">
        <f t="shared" si="4"/>
        <v>4</v>
      </c>
      <c r="B124" s="364" t="s">
        <v>606</v>
      </c>
      <c r="C124" s="318" t="s">
        <v>889</v>
      </c>
      <c r="D124" s="318">
        <v>20</v>
      </c>
      <c r="E124" s="500">
        <v>5</v>
      </c>
      <c r="F124" s="462">
        <f t="shared" si="5"/>
        <v>100</v>
      </c>
    </row>
    <row r="125" spans="1:6" ht="15.75">
      <c r="A125" s="255">
        <f t="shared" si="4"/>
        <v>5</v>
      </c>
      <c r="B125" s="364" t="s">
        <v>605</v>
      </c>
      <c r="C125" s="318" t="s">
        <v>889</v>
      </c>
      <c r="D125" s="318">
        <v>10</v>
      </c>
      <c r="E125" s="500">
        <v>9.1999999999999993</v>
      </c>
      <c r="F125" s="462">
        <f t="shared" si="5"/>
        <v>92</v>
      </c>
    </row>
    <row r="126" spans="1:6" ht="31.5">
      <c r="A126" s="255">
        <f t="shared" si="4"/>
        <v>6</v>
      </c>
      <c r="B126" s="364" t="s">
        <v>571</v>
      </c>
      <c r="C126" s="318" t="s">
        <v>889</v>
      </c>
      <c r="D126" s="318">
        <v>4</v>
      </c>
      <c r="E126" s="500">
        <v>35.200000000000003</v>
      </c>
      <c r="F126" s="462">
        <f t="shared" si="5"/>
        <v>140.80000000000001</v>
      </c>
    </row>
    <row r="127" spans="1:6" ht="15.75">
      <c r="A127" s="255">
        <f t="shared" si="4"/>
        <v>7</v>
      </c>
      <c r="B127" s="364" t="s">
        <v>604</v>
      </c>
      <c r="C127" s="318" t="s">
        <v>889</v>
      </c>
      <c r="D127" s="318">
        <v>2</v>
      </c>
      <c r="E127" s="500">
        <v>38</v>
      </c>
      <c r="F127" s="462">
        <f t="shared" si="5"/>
        <v>76</v>
      </c>
    </row>
    <row r="128" spans="1:6" ht="15.75">
      <c r="A128" s="255">
        <f t="shared" si="4"/>
        <v>8</v>
      </c>
      <c r="B128" s="364" t="s">
        <v>603</v>
      </c>
      <c r="C128" s="318" t="s">
        <v>572</v>
      </c>
      <c r="D128" s="318">
        <v>1</v>
      </c>
      <c r="E128" s="500">
        <v>256.8</v>
      </c>
      <c r="F128" s="462">
        <f t="shared" si="5"/>
        <v>256.8</v>
      </c>
    </row>
    <row r="129" spans="1:6" ht="15.75">
      <c r="A129" s="255">
        <f t="shared" si="4"/>
        <v>9</v>
      </c>
      <c r="B129" s="364" t="s">
        <v>602</v>
      </c>
      <c r="C129" s="318" t="s">
        <v>572</v>
      </c>
      <c r="D129" s="318">
        <v>10</v>
      </c>
      <c r="E129" s="500">
        <v>22.8</v>
      </c>
      <c r="F129" s="462">
        <f t="shared" si="5"/>
        <v>228</v>
      </c>
    </row>
    <row r="130" spans="1:6" ht="15.75">
      <c r="A130" s="255">
        <f t="shared" si="4"/>
        <v>10</v>
      </c>
      <c r="B130" s="364" t="s">
        <v>601</v>
      </c>
      <c r="C130" s="318" t="s">
        <v>889</v>
      </c>
      <c r="D130" s="318">
        <v>30</v>
      </c>
      <c r="E130" s="500">
        <v>15.2</v>
      </c>
      <c r="F130" s="462">
        <f t="shared" si="5"/>
        <v>456</v>
      </c>
    </row>
    <row r="131" spans="1:6" ht="15.75">
      <c r="A131" s="255">
        <f t="shared" si="4"/>
        <v>11</v>
      </c>
      <c r="B131" s="364" t="s">
        <v>600</v>
      </c>
      <c r="C131" s="318" t="s">
        <v>889</v>
      </c>
      <c r="D131" s="318">
        <v>5</v>
      </c>
      <c r="E131" s="500">
        <v>18.5</v>
      </c>
      <c r="F131" s="462">
        <f t="shared" si="5"/>
        <v>92.5</v>
      </c>
    </row>
    <row r="132" spans="1:6" ht="15.75">
      <c r="A132" s="255">
        <f t="shared" si="4"/>
        <v>12</v>
      </c>
      <c r="B132" s="364" t="s">
        <v>599</v>
      </c>
      <c r="C132" s="318" t="s">
        <v>889</v>
      </c>
      <c r="D132" s="318">
        <v>5</v>
      </c>
      <c r="E132" s="500">
        <v>77</v>
      </c>
      <c r="F132" s="462">
        <f t="shared" si="5"/>
        <v>385</v>
      </c>
    </row>
    <row r="133" spans="1:6" ht="15.75">
      <c r="A133" s="255">
        <f t="shared" si="4"/>
        <v>13</v>
      </c>
      <c r="B133" s="364" t="s">
        <v>598</v>
      </c>
      <c r="C133" s="318" t="s">
        <v>889</v>
      </c>
      <c r="D133" s="318">
        <v>20</v>
      </c>
      <c r="E133" s="500">
        <v>39.200000000000003</v>
      </c>
      <c r="F133" s="462">
        <f t="shared" si="5"/>
        <v>784</v>
      </c>
    </row>
    <row r="134" spans="1:6" ht="15.75">
      <c r="A134" s="255">
        <f t="shared" si="4"/>
        <v>14</v>
      </c>
      <c r="B134" s="364" t="s">
        <v>597</v>
      </c>
      <c r="C134" s="318" t="s">
        <v>889</v>
      </c>
      <c r="D134" s="318">
        <v>20</v>
      </c>
      <c r="E134" s="500">
        <v>8.6999999999999993</v>
      </c>
      <c r="F134" s="462">
        <f t="shared" si="5"/>
        <v>174</v>
      </c>
    </row>
    <row r="135" spans="1:6" ht="15.75">
      <c r="A135" s="255">
        <f t="shared" si="4"/>
        <v>15</v>
      </c>
      <c r="B135" s="364" t="s">
        <v>596</v>
      </c>
      <c r="C135" s="318" t="s">
        <v>889</v>
      </c>
      <c r="D135" s="318">
        <v>2</v>
      </c>
      <c r="E135" s="500">
        <v>331.6</v>
      </c>
      <c r="F135" s="462">
        <f t="shared" si="5"/>
        <v>663.2</v>
      </c>
    </row>
    <row r="136" spans="1:6" ht="15.75">
      <c r="A136" s="255">
        <f t="shared" si="4"/>
        <v>16</v>
      </c>
      <c r="B136" s="364" t="s">
        <v>595</v>
      </c>
      <c r="C136" s="318" t="s">
        <v>889</v>
      </c>
      <c r="D136" s="318">
        <v>5</v>
      </c>
      <c r="E136" s="500">
        <v>108</v>
      </c>
      <c r="F136" s="462">
        <f t="shared" si="5"/>
        <v>540</v>
      </c>
    </row>
    <row r="137" spans="1:6" ht="15.75">
      <c r="A137" s="255">
        <f t="shared" si="4"/>
        <v>17</v>
      </c>
      <c r="B137" s="1233" t="s">
        <v>594</v>
      </c>
      <c r="C137" s="318" t="s">
        <v>889</v>
      </c>
      <c r="D137" s="318">
        <v>5</v>
      </c>
      <c r="E137" s="500">
        <v>8.6</v>
      </c>
      <c r="F137" s="462">
        <f t="shared" si="5"/>
        <v>43</v>
      </c>
    </row>
    <row r="138" spans="1:6" ht="31.5">
      <c r="A138" s="255">
        <f t="shared" ref="A138:A201" si="6">A137+1</f>
        <v>18</v>
      </c>
      <c r="B138" s="1233" t="s">
        <v>593</v>
      </c>
      <c r="C138" s="318" t="s">
        <v>889</v>
      </c>
      <c r="D138" s="318">
        <v>1</v>
      </c>
      <c r="E138" s="500">
        <v>148.80000000000001</v>
      </c>
      <c r="F138" s="462">
        <f t="shared" si="5"/>
        <v>148.80000000000001</v>
      </c>
    </row>
    <row r="139" spans="1:6" ht="15.75">
      <c r="A139" s="255">
        <f t="shared" si="6"/>
        <v>19</v>
      </c>
      <c r="B139" s="1233" t="s">
        <v>592</v>
      </c>
      <c r="C139" s="318" t="s">
        <v>889</v>
      </c>
      <c r="D139" s="318">
        <v>25</v>
      </c>
      <c r="E139" s="500">
        <v>7.3</v>
      </c>
      <c r="F139" s="462">
        <f t="shared" si="5"/>
        <v>182.5</v>
      </c>
    </row>
    <row r="140" spans="1:6" ht="15.75">
      <c r="A140" s="255">
        <f t="shared" si="6"/>
        <v>20</v>
      </c>
      <c r="B140" s="1233" t="s">
        <v>591</v>
      </c>
      <c r="C140" s="318" t="s">
        <v>889</v>
      </c>
      <c r="D140" s="318">
        <v>5</v>
      </c>
      <c r="E140" s="500">
        <v>145.6</v>
      </c>
      <c r="F140" s="462">
        <f t="shared" si="5"/>
        <v>728</v>
      </c>
    </row>
    <row r="141" spans="1:6" ht="31.5">
      <c r="A141" s="255">
        <f t="shared" si="6"/>
        <v>21</v>
      </c>
      <c r="B141" s="1233" t="s">
        <v>573</v>
      </c>
      <c r="C141" s="318" t="s">
        <v>889</v>
      </c>
      <c r="D141" s="318">
        <v>5</v>
      </c>
      <c r="E141" s="500">
        <v>116.5</v>
      </c>
      <c r="F141" s="462">
        <f t="shared" si="5"/>
        <v>582.5</v>
      </c>
    </row>
    <row r="142" spans="1:6" ht="31.5">
      <c r="A142" s="255">
        <f t="shared" si="6"/>
        <v>22</v>
      </c>
      <c r="B142" s="1233" t="s">
        <v>590</v>
      </c>
      <c r="C142" s="318" t="s">
        <v>889</v>
      </c>
      <c r="D142" s="318">
        <v>5</v>
      </c>
      <c r="E142" s="500">
        <v>104.3</v>
      </c>
      <c r="F142" s="462">
        <f t="shared" si="5"/>
        <v>521.5</v>
      </c>
    </row>
    <row r="143" spans="1:6" ht="15.75">
      <c r="A143" s="255">
        <f t="shared" si="6"/>
        <v>23</v>
      </c>
      <c r="B143" s="1233" t="s">
        <v>589</v>
      </c>
      <c r="C143" s="318" t="s">
        <v>889</v>
      </c>
      <c r="D143" s="318">
        <v>100</v>
      </c>
      <c r="E143" s="500">
        <v>4.5</v>
      </c>
      <c r="F143" s="462">
        <f t="shared" si="5"/>
        <v>450</v>
      </c>
    </row>
    <row r="144" spans="1:6" ht="15.75">
      <c r="A144" s="255">
        <f t="shared" si="6"/>
        <v>24</v>
      </c>
      <c r="B144" s="1233" t="s">
        <v>588</v>
      </c>
      <c r="C144" s="318" t="s">
        <v>889</v>
      </c>
      <c r="D144" s="318">
        <v>10</v>
      </c>
      <c r="E144" s="500">
        <v>3.6</v>
      </c>
      <c r="F144" s="462">
        <f t="shared" si="5"/>
        <v>36</v>
      </c>
    </row>
    <row r="145" spans="1:6" ht="15.75">
      <c r="A145" s="255">
        <f t="shared" si="6"/>
        <v>25</v>
      </c>
      <c r="B145" s="1233" t="s">
        <v>587</v>
      </c>
      <c r="C145" s="318" t="s">
        <v>889</v>
      </c>
      <c r="D145" s="318">
        <v>10</v>
      </c>
      <c r="E145" s="500">
        <v>5.5</v>
      </c>
      <c r="F145" s="462">
        <f t="shared" si="5"/>
        <v>55</v>
      </c>
    </row>
    <row r="146" spans="1:6" ht="15.75">
      <c r="A146" s="255">
        <f t="shared" si="6"/>
        <v>26</v>
      </c>
      <c r="B146" s="1233" t="s">
        <v>586</v>
      </c>
      <c r="C146" s="318" t="s">
        <v>889</v>
      </c>
      <c r="D146" s="318">
        <v>5</v>
      </c>
      <c r="E146" s="500">
        <v>23.5</v>
      </c>
      <c r="F146" s="462">
        <f t="shared" si="5"/>
        <v>117.5</v>
      </c>
    </row>
    <row r="147" spans="1:6" ht="15.75">
      <c r="A147" s="255">
        <f t="shared" si="6"/>
        <v>27</v>
      </c>
      <c r="B147" s="1233" t="s">
        <v>585</v>
      </c>
      <c r="C147" s="318" t="s">
        <v>574</v>
      </c>
      <c r="D147" s="318">
        <v>15</v>
      </c>
      <c r="E147" s="500">
        <v>113</v>
      </c>
      <c r="F147" s="462">
        <f t="shared" si="5"/>
        <v>1695</v>
      </c>
    </row>
    <row r="148" spans="1:6" ht="15.75">
      <c r="A148" s="255">
        <f t="shared" si="6"/>
        <v>28</v>
      </c>
      <c r="B148" s="1233" t="s">
        <v>584</v>
      </c>
      <c r="C148" s="318" t="s">
        <v>889</v>
      </c>
      <c r="D148" s="318">
        <v>5</v>
      </c>
      <c r="E148" s="500">
        <v>87.8</v>
      </c>
      <c r="F148" s="462">
        <f t="shared" si="5"/>
        <v>439</v>
      </c>
    </row>
    <row r="149" spans="1:6" ht="15.75">
      <c r="A149" s="255">
        <f t="shared" si="6"/>
        <v>29</v>
      </c>
      <c r="B149" s="1233" t="s">
        <v>583</v>
      </c>
      <c r="C149" s="318" t="s">
        <v>889</v>
      </c>
      <c r="D149" s="318">
        <v>12</v>
      </c>
      <c r="E149" s="500">
        <v>18.3</v>
      </c>
      <c r="F149" s="462">
        <f t="shared" si="5"/>
        <v>219.60000000000002</v>
      </c>
    </row>
    <row r="150" spans="1:6" ht="31.5">
      <c r="A150" s="255">
        <f t="shared" si="6"/>
        <v>30</v>
      </c>
      <c r="B150" s="1233" t="s">
        <v>575</v>
      </c>
      <c r="C150" s="318" t="s">
        <v>889</v>
      </c>
      <c r="D150" s="318">
        <v>10</v>
      </c>
      <c r="E150" s="500">
        <v>6</v>
      </c>
      <c r="F150" s="462">
        <f t="shared" si="5"/>
        <v>60</v>
      </c>
    </row>
    <row r="151" spans="1:6" ht="15.75">
      <c r="A151" s="255">
        <f t="shared" si="6"/>
        <v>31</v>
      </c>
      <c r="B151" s="1233" t="s">
        <v>582</v>
      </c>
      <c r="C151" s="318" t="s">
        <v>889</v>
      </c>
      <c r="D151" s="318">
        <v>10</v>
      </c>
      <c r="E151" s="500">
        <v>12</v>
      </c>
      <c r="F151" s="462">
        <f t="shared" si="5"/>
        <v>120</v>
      </c>
    </row>
    <row r="152" spans="1:6" ht="15.75">
      <c r="A152" s="255">
        <f t="shared" si="6"/>
        <v>32</v>
      </c>
      <c r="B152" s="1233" t="s">
        <v>581</v>
      </c>
      <c r="C152" s="318" t="s">
        <v>889</v>
      </c>
      <c r="D152" s="318">
        <v>100</v>
      </c>
      <c r="E152" s="500">
        <v>2.8</v>
      </c>
      <c r="F152" s="462">
        <f t="shared" si="5"/>
        <v>280</v>
      </c>
    </row>
    <row r="153" spans="1:6" ht="15.75">
      <c r="A153" s="255">
        <f t="shared" si="6"/>
        <v>33</v>
      </c>
      <c r="B153" s="1233" t="s">
        <v>576</v>
      </c>
      <c r="C153" s="318" t="s">
        <v>889</v>
      </c>
      <c r="D153" s="318">
        <v>5</v>
      </c>
      <c r="E153" s="500">
        <v>6.3</v>
      </c>
      <c r="F153" s="462">
        <f t="shared" si="5"/>
        <v>31.5</v>
      </c>
    </row>
    <row r="154" spans="1:6" ht="15.75">
      <c r="A154" s="255">
        <f t="shared" si="6"/>
        <v>34</v>
      </c>
      <c r="B154" s="1233" t="s">
        <v>578</v>
      </c>
      <c r="C154" s="318" t="s">
        <v>889</v>
      </c>
      <c r="D154" s="318">
        <v>1</v>
      </c>
      <c r="E154" s="500">
        <v>186.7</v>
      </c>
      <c r="F154" s="462">
        <f t="shared" si="5"/>
        <v>186.7</v>
      </c>
    </row>
    <row r="155" spans="1:6" ht="15.75" customHeight="1">
      <c r="A155" s="255">
        <f t="shared" si="6"/>
        <v>35</v>
      </c>
      <c r="B155" s="1233" t="s">
        <v>580</v>
      </c>
      <c r="C155" s="318" t="s">
        <v>889</v>
      </c>
      <c r="D155" s="318">
        <v>6</v>
      </c>
      <c r="E155" s="500">
        <v>10.3</v>
      </c>
      <c r="F155" s="462">
        <f t="shared" si="5"/>
        <v>61.800000000000004</v>
      </c>
    </row>
    <row r="156" spans="1:6" ht="31.5">
      <c r="A156" s="255">
        <f t="shared" si="6"/>
        <v>36</v>
      </c>
      <c r="B156" s="1233" t="s">
        <v>577</v>
      </c>
      <c r="C156" s="318" t="s">
        <v>889</v>
      </c>
      <c r="D156" s="318">
        <v>13</v>
      </c>
      <c r="E156" s="500">
        <v>25.6</v>
      </c>
      <c r="F156" s="462">
        <f t="shared" si="5"/>
        <v>332.8</v>
      </c>
    </row>
    <row r="157" spans="1:6" ht="15.75">
      <c r="A157" s="255">
        <f t="shared" si="6"/>
        <v>37</v>
      </c>
      <c r="B157" s="1233" t="s">
        <v>579</v>
      </c>
      <c r="C157" s="318" t="s">
        <v>889</v>
      </c>
      <c r="D157" s="318">
        <v>15</v>
      </c>
      <c r="E157" s="500">
        <v>40.700000000000003</v>
      </c>
      <c r="F157" s="462">
        <f t="shared" si="5"/>
        <v>610.5</v>
      </c>
    </row>
    <row r="158" spans="1:6" ht="15.75">
      <c r="A158" s="255"/>
      <c r="B158" s="1871" t="s">
        <v>610</v>
      </c>
      <c r="C158" s="1879"/>
      <c r="D158" s="1879"/>
      <c r="E158" s="1880"/>
      <c r="F158" s="1321">
        <f>SUM(F159:F182)</f>
        <v>87191.8</v>
      </c>
    </row>
    <row r="159" spans="1:6" ht="15.75">
      <c r="A159" s="255">
        <f t="shared" si="6"/>
        <v>1</v>
      </c>
      <c r="B159" s="257" t="s">
        <v>611</v>
      </c>
      <c r="C159" s="147" t="s">
        <v>889</v>
      </c>
      <c r="D159" s="147">
        <v>1</v>
      </c>
      <c r="E159" s="247">
        <v>1667</v>
      </c>
      <c r="F159" s="462">
        <f t="shared" si="5"/>
        <v>1667</v>
      </c>
    </row>
    <row r="160" spans="1:6" ht="15.75">
      <c r="A160" s="255">
        <f t="shared" si="6"/>
        <v>2</v>
      </c>
      <c r="B160" s="257" t="s">
        <v>612</v>
      </c>
      <c r="C160" s="147" t="s">
        <v>889</v>
      </c>
      <c r="D160" s="147">
        <v>1</v>
      </c>
      <c r="E160" s="247">
        <v>5170</v>
      </c>
      <c r="F160" s="462">
        <f t="shared" si="5"/>
        <v>5170</v>
      </c>
    </row>
    <row r="161" spans="1:6" ht="15.75">
      <c r="A161" s="255">
        <f t="shared" si="6"/>
        <v>3</v>
      </c>
      <c r="B161" s="257" t="s">
        <v>613</v>
      </c>
      <c r="C161" s="147" t="s">
        <v>889</v>
      </c>
      <c r="D161" s="147">
        <v>1</v>
      </c>
      <c r="E161" s="247">
        <v>7897</v>
      </c>
      <c r="F161" s="462">
        <f t="shared" si="5"/>
        <v>7897</v>
      </c>
    </row>
    <row r="162" spans="1:6" ht="31.5">
      <c r="A162" s="255">
        <f t="shared" si="6"/>
        <v>4</v>
      </c>
      <c r="B162" s="257" t="s">
        <v>614</v>
      </c>
      <c r="C162" s="147" t="s">
        <v>889</v>
      </c>
      <c r="D162" s="246">
        <v>1</v>
      </c>
      <c r="E162" s="247">
        <v>5946</v>
      </c>
      <c r="F162" s="1271">
        <f t="shared" si="5"/>
        <v>5946</v>
      </c>
    </row>
    <row r="163" spans="1:6" ht="15.75">
      <c r="A163" s="255">
        <f t="shared" si="6"/>
        <v>5</v>
      </c>
      <c r="B163" s="257" t="s">
        <v>615</v>
      </c>
      <c r="C163" s="147" t="s">
        <v>889</v>
      </c>
      <c r="D163" s="147">
        <v>2</v>
      </c>
      <c r="E163" s="247">
        <v>183</v>
      </c>
      <c r="F163" s="462">
        <f t="shared" si="5"/>
        <v>366</v>
      </c>
    </row>
    <row r="164" spans="1:6" ht="15.75">
      <c r="A164" s="255">
        <f t="shared" si="6"/>
        <v>6</v>
      </c>
      <c r="B164" s="257" t="s">
        <v>616</v>
      </c>
      <c r="C164" s="147" t="s">
        <v>889</v>
      </c>
      <c r="D164" s="147">
        <v>2</v>
      </c>
      <c r="E164" s="247">
        <v>187</v>
      </c>
      <c r="F164" s="462">
        <f t="shared" si="5"/>
        <v>374</v>
      </c>
    </row>
    <row r="165" spans="1:6" ht="15.75">
      <c r="A165" s="255">
        <f t="shared" si="6"/>
        <v>7</v>
      </c>
      <c r="B165" s="257" t="s">
        <v>617</v>
      </c>
      <c r="C165" s="147" t="s">
        <v>889</v>
      </c>
      <c r="D165" s="147">
        <v>1</v>
      </c>
      <c r="E165" s="247">
        <v>14615</v>
      </c>
      <c r="F165" s="462">
        <f t="shared" si="5"/>
        <v>14615</v>
      </c>
    </row>
    <row r="166" spans="1:6" ht="31.5">
      <c r="A166" s="255">
        <f t="shared" si="6"/>
        <v>8</v>
      </c>
      <c r="B166" s="257" t="s">
        <v>618</v>
      </c>
      <c r="C166" s="147" t="s">
        <v>889</v>
      </c>
      <c r="D166" s="246">
        <v>1</v>
      </c>
      <c r="E166" s="247">
        <v>11000</v>
      </c>
      <c r="F166" s="1271">
        <f t="shared" si="5"/>
        <v>11000</v>
      </c>
    </row>
    <row r="167" spans="1:6" ht="31.5">
      <c r="A167" s="255">
        <f t="shared" si="6"/>
        <v>9</v>
      </c>
      <c r="B167" s="169" t="s">
        <v>619</v>
      </c>
      <c r="C167" s="147" t="s">
        <v>889</v>
      </c>
      <c r="D167" s="147">
        <v>1</v>
      </c>
      <c r="E167" s="247">
        <v>2268.8000000000002</v>
      </c>
      <c r="F167" s="462">
        <f t="shared" si="5"/>
        <v>2268.8000000000002</v>
      </c>
    </row>
    <row r="168" spans="1:6" ht="31.5">
      <c r="A168" s="255">
        <f t="shared" si="6"/>
        <v>10</v>
      </c>
      <c r="B168" s="169" t="s">
        <v>620</v>
      </c>
      <c r="C168" s="147" t="s">
        <v>889</v>
      </c>
      <c r="D168" s="246">
        <v>1</v>
      </c>
      <c r="E168" s="247">
        <v>4905</v>
      </c>
      <c r="F168" s="1271">
        <f t="shared" si="5"/>
        <v>4905</v>
      </c>
    </row>
    <row r="169" spans="1:6" ht="15.75">
      <c r="A169" s="255">
        <f t="shared" si="6"/>
        <v>11</v>
      </c>
      <c r="B169" s="257" t="s">
        <v>621</v>
      </c>
      <c r="C169" s="147" t="s">
        <v>889</v>
      </c>
      <c r="D169" s="147">
        <v>4</v>
      </c>
      <c r="E169" s="247">
        <v>1650</v>
      </c>
      <c r="F169" s="462">
        <f t="shared" si="5"/>
        <v>6600</v>
      </c>
    </row>
    <row r="170" spans="1:6" ht="15.75">
      <c r="A170" s="255">
        <f t="shared" si="6"/>
        <v>12</v>
      </c>
      <c r="B170" s="257" t="s">
        <v>622</v>
      </c>
      <c r="C170" s="147" t="s">
        <v>889</v>
      </c>
      <c r="D170" s="147">
        <v>2</v>
      </c>
      <c r="E170" s="247">
        <v>559</v>
      </c>
      <c r="F170" s="462">
        <f t="shared" si="5"/>
        <v>1118</v>
      </c>
    </row>
    <row r="171" spans="1:6" ht="15.75">
      <c r="A171" s="255">
        <f t="shared" si="6"/>
        <v>13</v>
      </c>
      <c r="B171" s="257" t="s">
        <v>623</v>
      </c>
      <c r="C171" s="147" t="s">
        <v>889</v>
      </c>
      <c r="D171" s="147">
        <v>4</v>
      </c>
      <c r="E171" s="247">
        <v>112</v>
      </c>
      <c r="F171" s="462">
        <f t="shared" si="5"/>
        <v>448</v>
      </c>
    </row>
    <row r="172" spans="1:6" ht="15.75">
      <c r="A172" s="255">
        <f t="shared" si="6"/>
        <v>14</v>
      </c>
      <c r="B172" s="257" t="s">
        <v>624</v>
      </c>
      <c r="C172" s="147" t="s">
        <v>889</v>
      </c>
      <c r="D172" s="147">
        <v>2</v>
      </c>
      <c r="E172" s="247">
        <v>171</v>
      </c>
      <c r="F172" s="462">
        <f t="shared" si="5"/>
        <v>342</v>
      </c>
    </row>
    <row r="173" spans="1:6" ht="15.75">
      <c r="A173" s="255">
        <f t="shared" si="6"/>
        <v>15</v>
      </c>
      <c r="B173" s="257" t="s">
        <v>625</v>
      </c>
      <c r="C173" s="147" t="s">
        <v>889</v>
      </c>
      <c r="D173" s="147">
        <v>2</v>
      </c>
      <c r="E173" s="247">
        <v>554</v>
      </c>
      <c r="F173" s="462">
        <f t="shared" si="5"/>
        <v>1108</v>
      </c>
    </row>
    <row r="174" spans="1:6" ht="31.5">
      <c r="A174" s="255">
        <f t="shared" si="6"/>
        <v>16</v>
      </c>
      <c r="B174" s="257" t="s">
        <v>626</v>
      </c>
      <c r="C174" s="147" t="s">
        <v>889</v>
      </c>
      <c r="D174" s="147">
        <v>4</v>
      </c>
      <c r="E174" s="247">
        <v>25</v>
      </c>
      <c r="F174" s="462">
        <f t="shared" si="5"/>
        <v>100</v>
      </c>
    </row>
    <row r="175" spans="1:6" ht="15.75">
      <c r="A175" s="255">
        <f t="shared" si="6"/>
        <v>17</v>
      </c>
      <c r="B175" s="257" t="s">
        <v>627</v>
      </c>
      <c r="C175" s="147" t="s">
        <v>889</v>
      </c>
      <c r="D175" s="147">
        <v>1</v>
      </c>
      <c r="E175" s="247">
        <v>12690</v>
      </c>
      <c r="F175" s="462">
        <f t="shared" si="5"/>
        <v>12690</v>
      </c>
    </row>
    <row r="176" spans="1:6" ht="15.75">
      <c r="A176" s="255">
        <f t="shared" si="6"/>
        <v>18</v>
      </c>
      <c r="B176" s="257" t="s">
        <v>628</v>
      </c>
      <c r="C176" s="147" t="s">
        <v>889</v>
      </c>
      <c r="D176" s="147">
        <v>24</v>
      </c>
      <c r="E176" s="247">
        <v>110</v>
      </c>
      <c r="F176" s="462">
        <f t="shared" si="5"/>
        <v>2640</v>
      </c>
    </row>
    <row r="177" spans="1:6" ht="15.75">
      <c r="A177" s="255">
        <f t="shared" si="6"/>
        <v>19</v>
      </c>
      <c r="B177" s="257" t="s">
        <v>629</v>
      </c>
      <c r="C177" s="147" t="s">
        <v>889</v>
      </c>
      <c r="D177" s="147">
        <v>1</v>
      </c>
      <c r="E177" s="247">
        <v>1143</v>
      </c>
      <c r="F177" s="462">
        <f t="shared" si="5"/>
        <v>1143</v>
      </c>
    </row>
    <row r="178" spans="1:6" ht="15.75">
      <c r="A178" s="255">
        <f t="shared" si="6"/>
        <v>20</v>
      </c>
      <c r="B178" s="257" t="s">
        <v>630</v>
      </c>
      <c r="C178" s="147" t="s">
        <v>889</v>
      </c>
      <c r="D178" s="147">
        <v>10</v>
      </c>
      <c r="E178" s="247">
        <v>328</v>
      </c>
      <c r="F178" s="462">
        <f t="shared" si="5"/>
        <v>3280</v>
      </c>
    </row>
    <row r="179" spans="1:6" ht="15.75">
      <c r="A179" s="255">
        <f t="shared" si="6"/>
        <v>21</v>
      </c>
      <c r="B179" s="257" t="s">
        <v>631</v>
      </c>
      <c r="C179" s="147" t="s">
        <v>889</v>
      </c>
      <c r="D179" s="147">
        <v>10</v>
      </c>
      <c r="E179" s="247">
        <v>14</v>
      </c>
      <c r="F179" s="462">
        <f t="shared" si="5"/>
        <v>140</v>
      </c>
    </row>
    <row r="180" spans="1:6" ht="31.5">
      <c r="A180" s="255">
        <f t="shared" si="6"/>
        <v>22</v>
      </c>
      <c r="B180" s="257" t="s">
        <v>632</v>
      </c>
      <c r="C180" s="147" t="s">
        <v>889</v>
      </c>
      <c r="D180" s="147">
        <v>2</v>
      </c>
      <c r="E180" s="247">
        <v>580</v>
      </c>
      <c r="F180" s="462">
        <f t="shared" si="5"/>
        <v>1160</v>
      </c>
    </row>
    <row r="181" spans="1:6" ht="31.5">
      <c r="A181" s="255">
        <f t="shared" si="6"/>
        <v>23</v>
      </c>
      <c r="B181" s="257" t="s">
        <v>633</v>
      </c>
      <c r="C181" s="147" t="s">
        <v>889</v>
      </c>
      <c r="D181" s="246">
        <v>2</v>
      </c>
      <c r="E181" s="247">
        <v>1020</v>
      </c>
      <c r="F181" s="1271">
        <f t="shared" si="5"/>
        <v>2040</v>
      </c>
    </row>
    <row r="182" spans="1:6" ht="15.75">
      <c r="A182" s="255">
        <f t="shared" si="6"/>
        <v>24</v>
      </c>
      <c r="B182" s="257" t="s">
        <v>634</v>
      </c>
      <c r="C182" s="147" t="s">
        <v>889</v>
      </c>
      <c r="D182" s="147">
        <v>2</v>
      </c>
      <c r="E182" s="247">
        <v>87</v>
      </c>
      <c r="F182" s="462">
        <f t="shared" si="5"/>
        <v>174</v>
      </c>
    </row>
    <row r="183" spans="1:6" ht="15.75">
      <c r="A183" s="255"/>
      <c r="B183" s="1871" t="s">
        <v>883</v>
      </c>
      <c r="C183" s="1482"/>
      <c r="D183" s="1482"/>
      <c r="E183" s="1872"/>
      <c r="F183" s="1321">
        <f>SUM(F184:F196)</f>
        <v>56218</v>
      </c>
    </row>
    <row r="184" spans="1:6" ht="15.75">
      <c r="A184" s="255">
        <f t="shared" si="6"/>
        <v>1</v>
      </c>
      <c r="B184" s="257" t="s">
        <v>635</v>
      </c>
      <c r="C184" s="147" t="s">
        <v>889</v>
      </c>
      <c r="D184" s="147">
        <v>60</v>
      </c>
      <c r="E184" s="247">
        <v>214</v>
      </c>
      <c r="F184" s="462">
        <f t="shared" si="5"/>
        <v>12840</v>
      </c>
    </row>
    <row r="185" spans="1:6" ht="15.75">
      <c r="A185" s="255">
        <f t="shared" si="6"/>
        <v>2</v>
      </c>
      <c r="B185" s="257" t="s">
        <v>636</v>
      </c>
      <c r="C185" s="147" t="s">
        <v>889</v>
      </c>
      <c r="D185" s="147">
        <v>50</v>
      </c>
      <c r="E185" s="247">
        <v>32</v>
      </c>
      <c r="F185" s="462">
        <f t="shared" si="5"/>
        <v>1600</v>
      </c>
    </row>
    <row r="186" spans="1:6" ht="31.5">
      <c r="A186" s="255">
        <f t="shared" si="6"/>
        <v>3</v>
      </c>
      <c r="B186" s="257" t="s">
        <v>637</v>
      </c>
      <c r="C186" s="147" t="s">
        <v>889</v>
      </c>
      <c r="D186" s="147">
        <v>50</v>
      </c>
      <c r="E186" s="247">
        <v>66</v>
      </c>
      <c r="F186" s="462">
        <f t="shared" ref="F186:F206" si="7">E186*D186</f>
        <v>3300</v>
      </c>
    </row>
    <row r="187" spans="1:6" ht="15.75">
      <c r="A187" s="255">
        <f t="shared" si="6"/>
        <v>4</v>
      </c>
      <c r="B187" s="257" t="s">
        <v>638</v>
      </c>
      <c r="C187" s="147" t="s">
        <v>889</v>
      </c>
      <c r="D187" s="147">
        <v>20</v>
      </c>
      <c r="E187" s="247">
        <v>145</v>
      </c>
      <c r="F187" s="462">
        <f t="shared" si="7"/>
        <v>2900</v>
      </c>
    </row>
    <row r="188" spans="1:6" ht="15.75">
      <c r="A188" s="255">
        <f t="shared" si="6"/>
        <v>5</v>
      </c>
      <c r="B188" s="257" t="s">
        <v>639</v>
      </c>
      <c r="C188" s="147" t="s">
        <v>889</v>
      </c>
      <c r="D188" s="147">
        <v>400</v>
      </c>
      <c r="E188" s="247">
        <v>15</v>
      </c>
      <c r="F188" s="462">
        <f t="shared" si="7"/>
        <v>6000</v>
      </c>
    </row>
    <row r="189" spans="1:6" ht="31.5">
      <c r="A189" s="255">
        <f t="shared" si="6"/>
        <v>6</v>
      </c>
      <c r="B189" s="257" t="s">
        <v>640</v>
      </c>
      <c r="C189" s="147" t="s">
        <v>889</v>
      </c>
      <c r="D189" s="246">
        <v>80</v>
      </c>
      <c r="E189" s="247">
        <v>25</v>
      </c>
      <c r="F189" s="1271">
        <f t="shared" si="7"/>
        <v>2000</v>
      </c>
    </row>
    <row r="190" spans="1:6" ht="31.5">
      <c r="A190" s="255">
        <f t="shared" si="6"/>
        <v>7</v>
      </c>
      <c r="B190" s="169" t="s">
        <v>641</v>
      </c>
      <c r="C190" s="147" t="s">
        <v>889</v>
      </c>
      <c r="D190" s="246">
        <v>40</v>
      </c>
      <c r="E190" s="247">
        <v>66</v>
      </c>
      <c r="F190" s="1271">
        <f t="shared" si="7"/>
        <v>2640</v>
      </c>
    </row>
    <row r="191" spans="1:6" ht="31.5">
      <c r="A191" s="255">
        <f t="shared" si="6"/>
        <v>8</v>
      </c>
      <c r="B191" s="169" t="s">
        <v>645</v>
      </c>
      <c r="C191" s="147" t="s">
        <v>889</v>
      </c>
      <c r="D191" s="246">
        <v>60</v>
      </c>
      <c r="E191" s="247">
        <v>62</v>
      </c>
      <c r="F191" s="1271">
        <f t="shared" si="7"/>
        <v>3720</v>
      </c>
    </row>
    <row r="192" spans="1:6" ht="15.75">
      <c r="A192" s="255">
        <f t="shared" si="6"/>
        <v>9</v>
      </c>
      <c r="B192" s="257" t="s">
        <v>642</v>
      </c>
      <c r="C192" s="147" t="s">
        <v>889</v>
      </c>
      <c r="D192" s="147">
        <v>100</v>
      </c>
      <c r="E192" s="247">
        <v>32</v>
      </c>
      <c r="F192" s="462">
        <f t="shared" si="7"/>
        <v>3200</v>
      </c>
    </row>
    <row r="193" spans="1:6" ht="31.5">
      <c r="A193" s="255">
        <f t="shared" si="6"/>
        <v>10</v>
      </c>
      <c r="B193" s="257" t="s">
        <v>644</v>
      </c>
      <c r="C193" s="147" t="s">
        <v>889</v>
      </c>
      <c r="D193" s="246">
        <v>10</v>
      </c>
      <c r="E193" s="247">
        <v>1338</v>
      </c>
      <c r="F193" s="1271">
        <f t="shared" si="7"/>
        <v>13380</v>
      </c>
    </row>
    <row r="194" spans="1:6" ht="15.75">
      <c r="A194" s="255">
        <f t="shared" si="6"/>
        <v>11</v>
      </c>
      <c r="B194" s="257" t="s">
        <v>643</v>
      </c>
      <c r="C194" s="147" t="s">
        <v>889</v>
      </c>
      <c r="D194" s="147">
        <v>16</v>
      </c>
      <c r="E194" s="247">
        <v>43</v>
      </c>
      <c r="F194" s="462">
        <f t="shared" si="7"/>
        <v>688</v>
      </c>
    </row>
    <row r="195" spans="1:6" ht="15.75">
      <c r="A195" s="255">
        <f t="shared" si="6"/>
        <v>12</v>
      </c>
      <c r="B195" s="257" t="s">
        <v>646</v>
      </c>
      <c r="C195" s="147" t="s">
        <v>889</v>
      </c>
      <c r="D195" s="147">
        <v>10</v>
      </c>
      <c r="E195" s="247">
        <v>90</v>
      </c>
      <c r="F195" s="462">
        <f t="shared" si="7"/>
        <v>900</v>
      </c>
    </row>
    <row r="196" spans="1:6" ht="31.5">
      <c r="A196" s="255">
        <f t="shared" si="6"/>
        <v>13</v>
      </c>
      <c r="B196" s="257" t="s">
        <v>647</v>
      </c>
      <c r="C196" s="147" t="s">
        <v>889</v>
      </c>
      <c r="D196" s="147">
        <v>10</v>
      </c>
      <c r="E196" s="247">
        <v>305</v>
      </c>
      <c r="F196" s="462">
        <f t="shared" si="7"/>
        <v>3050</v>
      </c>
    </row>
    <row r="197" spans="1:6" ht="15.75">
      <c r="A197" s="255"/>
      <c r="B197" s="1871" t="s">
        <v>121</v>
      </c>
      <c r="C197" s="1482"/>
      <c r="D197" s="1482"/>
      <c r="E197" s="1872"/>
      <c r="F197" s="1321">
        <f>SUM(F198:F213)</f>
        <v>22367.770000000004</v>
      </c>
    </row>
    <row r="198" spans="1:6" ht="47.25">
      <c r="A198" s="255">
        <f t="shared" si="6"/>
        <v>1</v>
      </c>
      <c r="B198" s="1235" t="s">
        <v>648</v>
      </c>
      <c r="C198" s="368" t="s">
        <v>889</v>
      </c>
      <c r="D198" s="368">
        <v>7</v>
      </c>
      <c r="E198" s="1236">
        <v>154</v>
      </c>
      <c r="F198" s="462">
        <f t="shared" si="7"/>
        <v>1078</v>
      </c>
    </row>
    <row r="199" spans="1:6" ht="31.5">
      <c r="A199" s="255">
        <f t="shared" si="6"/>
        <v>2</v>
      </c>
      <c r="B199" s="552" t="s">
        <v>653</v>
      </c>
      <c r="C199" s="368" t="s">
        <v>889</v>
      </c>
      <c r="D199" s="368">
        <v>4</v>
      </c>
      <c r="E199" s="1236">
        <v>517</v>
      </c>
      <c r="F199" s="462">
        <f t="shared" si="7"/>
        <v>2068</v>
      </c>
    </row>
    <row r="200" spans="1:6" ht="15.75">
      <c r="A200" s="255">
        <f t="shared" si="6"/>
        <v>3</v>
      </c>
      <c r="B200" s="1235" t="s">
        <v>654</v>
      </c>
      <c r="C200" s="368" t="s">
        <v>889</v>
      </c>
      <c r="D200" s="368">
        <v>30</v>
      </c>
      <c r="E200" s="1236">
        <v>89</v>
      </c>
      <c r="F200" s="462">
        <f t="shared" si="7"/>
        <v>2670</v>
      </c>
    </row>
    <row r="201" spans="1:6" ht="31.5">
      <c r="A201" s="255">
        <f t="shared" si="6"/>
        <v>4</v>
      </c>
      <c r="B201" s="552" t="s">
        <v>657</v>
      </c>
      <c r="C201" s="1237" t="s">
        <v>889</v>
      </c>
      <c r="D201" s="368">
        <v>5</v>
      </c>
      <c r="E201" s="1236">
        <v>32</v>
      </c>
      <c r="F201" s="462">
        <f t="shared" si="7"/>
        <v>160</v>
      </c>
    </row>
    <row r="202" spans="1:6" ht="31.5">
      <c r="A202" s="255">
        <f t="shared" ref="A202:A213" si="8">A201+1</f>
        <v>5</v>
      </c>
      <c r="B202" s="552" t="s">
        <v>658</v>
      </c>
      <c r="C202" s="1237" t="s">
        <v>889</v>
      </c>
      <c r="D202" s="368">
        <v>5</v>
      </c>
      <c r="E202" s="1236">
        <v>61</v>
      </c>
      <c r="F202" s="462">
        <f t="shared" si="7"/>
        <v>305</v>
      </c>
    </row>
    <row r="203" spans="1:6" ht="31.5">
      <c r="A203" s="255">
        <f t="shared" si="8"/>
        <v>6</v>
      </c>
      <c r="B203" s="231" t="s">
        <v>651</v>
      </c>
      <c r="C203" s="368" t="s">
        <v>889</v>
      </c>
      <c r="D203" s="368">
        <v>114</v>
      </c>
      <c r="E203" s="1236">
        <v>16</v>
      </c>
      <c r="F203" s="462">
        <f t="shared" si="7"/>
        <v>1824</v>
      </c>
    </row>
    <row r="204" spans="1:6" ht="31.5">
      <c r="A204" s="255">
        <f t="shared" si="8"/>
        <v>7</v>
      </c>
      <c r="B204" s="1238" t="s">
        <v>659</v>
      </c>
      <c r="C204" s="368" t="s">
        <v>889</v>
      </c>
      <c r="D204" s="368">
        <v>105</v>
      </c>
      <c r="E204" s="1236">
        <v>24</v>
      </c>
      <c r="F204" s="462">
        <f t="shared" si="7"/>
        <v>2520</v>
      </c>
    </row>
    <row r="205" spans="1:6" ht="31.5">
      <c r="A205" s="255">
        <f t="shared" si="8"/>
        <v>8</v>
      </c>
      <c r="B205" s="552" t="s">
        <v>660</v>
      </c>
      <c r="C205" s="1237" t="s">
        <v>889</v>
      </c>
      <c r="D205" s="368">
        <v>56</v>
      </c>
      <c r="E205" s="1236">
        <v>25</v>
      </c>
      <c r="F205" s="462">
        <f t="shared" si="7"/>
        <v>1400</v>
      </c>
    </row>
    <row r="206" spans="1:6" ht="31.5">
      <c r="A206" s="255">
        <f t="shared" si="8"/>
        <v>9</v>
      </c>
      <c r="B206" s="552" t="s">
        <v>661</v>
      </c>
      <c r="C206" s="1237" t="s">
        <v>652</v>
      </c>
      <c r="D206" s="368">
        <v>30</v>
      </c>
      <c r="E206" s="1236">
        <v>66</v>
      </c>
      <c r="F206" s="462">
        <f t="shared" si="7"/>
        <v>1980</v>
      </c>
    </row>
    <row r="207" spans="1:6" ht="15.75">
      <c r="A207" s="255">
        <f t="shared" si="8"/>
        <v>10</v>
      </c>
      <c r="B207" s="257" t="s">
        <v>678</v>
      </c>
      <c r="C207" s="147" t="s">
        <v>684</v>
      </c>
      <c r="D207" s="147">
        <v>167</v>
      </c>
      <c r="E207" s="247">
        <v>15.6</v>
      </c>
      <c r="F207" s="462">
        <f t="shared" ref="F207:F213" si="9">E207*D207</f>
        <v>2605.1999999999998</v>
      </c>
    </row>
    <row r="208" spans="1:6" ht="15.75">
      <c r="A208" s="255">
        <f t="shared" si="8"/>
        <v>11</v>
      </c>
      <c r="B208" s="257" t="s">
        <v>680</v>
      </c>
      <c r="C208" s="147" t="s">
        <v>889</v>
      </c>
      <c r="D208" s="147">
        <v>6</v>
      </c>
      <c r="E208" s="247">
        <v>260.39999999999998</v>
      </c>
      <c r="F208" s="462">
        <f t="shared" si="9"/>
        <v>1562.3999999999999</v>
      </c>
    </row>
    <row r="209" spans="1:6" ht="15.75">
      <c r="A209" s="255">
        <f t="shared" si="8"/>
        <v>12</v>
      </c>
      <c r="B209" s="257" t="s">
        <v>679</v>
      </c>
      <c r="C209" s="147" t="s">
        <v>889</v>
      </c>
      <c r="D209" s="147">
        <v>2</v>
      </c>
      <c r="E209" s="247">
        <v>210</v>
      </c>
      <c r="F209" s="462">
        <f t="shared" si="9"/>
        <v>420</v>
      </c>
    </row>
    <row r="210" spans="1:6" ht="15.75">
      <c r="A210" s="255">
        <f t="shared" si="8"/>
        <v>13</v>
      </c>
      <c r="B210" s="257" t="s">
        <v>685</v>
      </c>
      <c r="C210" s="147" t="s">
        <v>889</v>
      </c>
      <c r="D210" s="147">
        <v>20</v>
      </c>
      <c r="E210" s="247">
        <v>49.11</v>
      </c>
      <c r="F210" s="462">
        <f t="shared" si="9"/>
        <v>982.2</v>
      </c>
    </row>
    <row r="211" spans="1:6" ht="15.75">
      <c r="A211" s="255">
        <f t="shared" si="8"/>
        <v>14</v>
      </c>
      <c r="B211" s="257" t="s">
        <v>681</v>
      </c>
      <c r="C211" s="147" t="s">
        <v>889</v>
      </c>
      <c r="D211" s="147">
        <v>20</v>
      </c>
      <c r="E211" s="247">
        <v>24.56</v>
      </c>
      <c r="F211" s="462">
        <f t="shared" si="9"/>
        <v>491.2</v>
      </c>
    </row>
    <row r="212" spans="1:6" ht="15.75">
      <c r="A212" s="255">
        <f t="shared" si="8"/>
        <v>15</v>
      </c>
      <c r="B212" s="257" t="s">
        <v>682</v>
      </c>
      <c r="C212" s="147" t="s">
        <v>889</v>
      </c>
      <c r="D212" s="147">
        <v>20</v>
      </c>
      <c r="E212" s="247">
        <v>53.44</v>
      </c>
      <c r="F212" s="462">
        <f t="shared" si="9"/>
        <v>1068.8</v>
      </c>
    </row>
    <row r="213" spans="1:6" ht="31.5">
      <c r="A213" s="255">
        <f t="shared" si="8"/>
        <v>16</v>
      </c>
      <c r="B213" s="257" t="s">
        <v>683</v>
      </c>
      <c r="C213" s="147" t="s">
        <v>889</v>
      </c>
      <c r="D213" s="246">
        <v>1</v>
      </c>
      <c r="E213" s="247">
        <v>1232.97</v>
      </c>
      <c r="F213" s="1271">
        <f t="shared" si="9"/>
        <v>1232.97</v>
      </c>
    </row>
    <row r="214" spans="1:6" ht="15.75">
      <c r="A214" s="255"/>
      <c r="B214" s="1871" t="s">
        <v>120</v>
      </c>
      <c r="C214" s="1482"/>
      <c r="D214" s="1482"/>
      <c r="E214" s="1872"/>
      <c r="F214" s="1321">
        <f>SUM(F215:F223)</f>
        <v>80562</v>
      </c>
    </row>
    <row r="215" spans="1:6" ht="31.5">
      <c r="A215" s="255">
        <v>1</v>
      </c>
      <c r="B215" s="552" t="s">
        <v>649</v>
      </c>
      <c r="C215" s="368" t="s">
        <v>889</v>
      </c>
      <c r="D215" s="368">
        <v>3</v>
      </c>
      <c r="E215" s="1236">
        <v>125</v>
      </c>
      <c r="F215" s="462">
        <f>E215*D215</f>
        <v>375</v>
      </c>
    </row>
    <row r="216" spans="1:6" ht="15.75">
      <c r="A216" s="255">
        <f>A215+1</f>
        <v>2</v>
      </c>
      <c r="B216" s="552" t="s">
        <v>650</v>
      </c>
      <c r="C216" s="368" t="s">
        <v>889</v>
      </c>
      <c r="D216" s="368">
        <v>3</v>
      </c>
      <c r="E216" s="1236">
        <v>145</v>
      </c>
      <c r="F216" s="462">
        <f>E216*D216</f>
        <v>435</v>
      </c>
    </row>
    <row r="217" spans="1:6" ht="15.75">
      <c r="A217" s="255">
        <f>A216+1</f>
        <v>3</v>
      </c>
      <c r="B217" s="552" t="s">
        <v>655</v>
      </c>
      <c r="C217" s="368" t="s">
        <v>889</v>
      </c>
      <c r="D217" s="368">
        <v>3</v>
      </c>
      <c r="E217" s="1236">
        <v>166</v>
      </c>
      <c r="F217" s="462">
        <f>E217*D217</f>
        <v>498</v>
      </c>
    </row>
    <row r="218" spans="1:6" ht="15.75">
      <c r="A218" s="255">
        <f>A217+1</f>
        <v>4</v>
      </c>
      <c r="B218" s="552" t="s">
        <v>656</v>
      </c>
      <c r="C218" s="368" t="s">
        <v>889</v>
      </c>
      <c r="D218" s="368">
        <v>3</v>
      </c>
      <c r="E218" s="1236">
        <v>165</v>
      </c>
      <c r="F218" s="462">
        <f>E218*D218</f>
        <v>495</v>
      </c>
    </row>
    <row r="219" spans="1:6" ht="15.75">
      <c r="A219" s="255"/>
      <c r="B219" s="1871" t="s">
        <v>884</v>
      </c>
      <c r="C219" s="1482"/>
      <c r="D219" s="1482"/>
      <c r="E219" s="1872"/>
      <c r="F219" s="1321">
        <f>SUM(F220:F221)</f>
        <v>23670</v>
      </c>
    </row>
    <row r="220" spans="1:6" ht="31.5">
      <c r="A220" s="255">
        <v>1</v>
      </c>
      <c r="B220" s="257" t="s">
        <v>663</v>
      </c>
      <c r="C220" s="147" t="s">
        <v>1135</v>
      </c>
      <c r="D220" s="147">
        <v>10</v>
      </c>
      <c r="E220" s="247">
        <v>219</v>
      </c>
      <c r="F220" s="462">
        <f t="shared" ref="F220:F235" si="10">E220*D220</f>
        <v>2190</v>
      </c>
    </row>
    <row r="221" spans="1:6" ht="31.5">
      <c r="A221" s="255">
        <f t="shared" ref="A221:A235" si="11">A220+1</f>
        <v>2</v>
      </c>
      <c r="B221" s="169" t="s">
        <v>664</v>
      </c>
      <c r="C221" s="147" t="s">
        <v>1135</v>
      </c>
      <c r="D221" s="147">
        <v>10</v>
      </c>
      <c r="E221" s="247">
        <v>2148</v>
      </c>
      <c r="F221" s="462">
        <f t="shared" si="10"/>
        <v>21480</v>
      </c>
    </row>
    <row r="222" spans="1:6" ht="15.75">
      <c r="A222" s="255"/>
      <c r="B222" s="1865" t="s">
        <v>671</v>
      </c>
      <c r="C222" s="1473"/>
      <c r="D222" s="1473"/>
      <c r="E222" s="1866"/>
      <c r="F222" s="1321">
        <f>SUM(F223:F228)</f>
        <v>24419</v>
      </c>
    </row>
    <row r="223" spans="1:6" ht="31.5">
      <c r="A223" s="1239">
        <v>1</v>
      </c>
      <c r="B223" s="231" t="s">
        <v>665</v>
      </c>
      <c r="C223" s="114" t="s">
        <v>1135</v>
      </c>
      <c r="D223" s="229">
        <v>2</v>
      </c>
      <c r="E223" s="1240">
        <v>3500</v>
      </c>
      <c r="F223" s="462">
        <f t="shared" si="10"/>
        <v>7000</v>
      </c>
    </row>
    <row r="224" spans="1:6" ht="15.75">
      <c r="A224" s="1239">
        <f t="shared" si="11"/>
        <v>2</v>
      </c>
      <c r="B224" s="115" t="s">
        <v>666</v>
      </c>
      <c r="C224" s="114" t="s">
        <v>1135</v>
      </c>
      <c r="D224" s="229">
        <v>3</v>
      </c>
      <c r="E224" s="1240">
        <v>1300</v>
      </c>
      <c r="F224" s="462">
        <f t="shared" si="10"/>
        <v>3900</v>
      </c>
    </row>
    <row r="225" spans="1:6" ht="15.75">
      <c r="A225" s="1239">
        <f t="shared" si="11"/>
        <v>3</v>
      </c>
      <c r="B225" s="115" t="s">
        <v>667</v>
      </c>
      <c r="C225" s="114" t="s">
        <v>1135</v>
      </c>
      <c r="D225" s="229">
        <v>1</v>
      </c>
      <c r="E225" s="1240">
        <v>5539</v>
      </c>
      <c r="F225" s="462">
        <f t="shared" si="10"/>
        <v>5539</v>
      </c>
    </row>
    <row r="226" spans="1:6" ht="31.5">
      <c r="A226" s="1239">
        <f t="shared" si="11"/>
        <v>4</v>
      </c>
      <c r="B226" s="115" t="s">
        <v>668</v>
      </c>
      <c r="C226" s="114" t="s">
        <v>1135</v>
      </c>
      <c r="D226" s="229">
        <v>1</v>
      </c>
      <c r="E226" s="1240">
        <v>4400</v>
      </c>
      <c r="F226" s="462">
        <f t="shared" si="10"/>
        <v>4400</v>
      </c>
    </row>
    <row r="227" spans="1:6" ht="15.75">
      <c r="A227" s="1239">
        <f t="shared" si="11"/>
        <v>5</v>
      </c>
      <c r="B227" s="115" t="s">
        <v>669</v>
      </c>
      <c r="C227" s="114" t="s">
        <v>1135</v>
      </c>
      <c r="D227" s="229">
        <v>2</v>
      </c>
      <c r="E227" s="1240">
        <v>390</v>
      </c>
      <c r="F227" s="462">
        <f t="shared" si="10"/>
        <v>780</v>
      </c>
    </row>
    <row r="228" spans="1:6" ht="15.75">
      <c r="A228" s="1239">
        <f t="shared" si="11"/>
        <v>6</v>
      </c>
      <c r="B228" s="115" t="s">
        <v>670</v>
      </c>
      <c r="C228" s="114" t="s">
        <v>1135</v>
      </c>
      <c r="D228" s="229">
        <v>2</v>
      </c>
      <c r="E228" s="1240">
        <v>1400</v>
      </c>
      <c r="F228" s="462">
        <f t="shared" si="10"/>
        <v>2800</v>
      </c>
    </row>
    <row r="229" spans="1:6" ht="15.75">
      <c r="A229" s="255"/>
      <c r="B229" s="1871" t="s">
        <v>1947</v>
      </c>
      <c r="C229" s="1482"/>
      <c r="D229" s="1482"/>
      <c r="E229" s="1872"/>
      <c r="F229" s="1321">
        <f>SUM(F230:F235)</f>
        <v>24248</v>
      </c>
    </row>
    <row r="230" spans="1:6" ht="15.75">
      <c r="A230" s="255">
        <f t="shared" si="11"/>
        <v>1</v>
      </c>
      <c r="B230" s="257" t="s">
        <v>672</v>
      </c>
      <c r="C230" s="114" t="s">
        <v>1135</v>
      </c>
      <c r="D230" s="335">
        <v>2</v>
      </c>
      <c r="E230" s="1241">
        <v>1778</v>
      </c>
      <c r="F230" s="462">
        <f t="shared" si="10"/>
        <v>3556</v>
      </c>
    </row>
    <row r="231" spans="1:6" ht="15.75">
      <c r="A231" s="255">
        <f t="shared" si="11"/>
        <v>2</v>
      </c>
      <c r="B231" s="257" t="s">
        <v>673</v>
      </c>
      <c r="C231" s="114" t="s">
        <v>1135</v>
      </c>
      <c r="D231" s="335">
        <v>6</v>
      </c>
      <c r="E231" s="1241">
        <v>1456</v>
      </c>
      <c r="F231" s="462">
        <f t="shared" si="10"/>
        <v>8736</v>
      </c>
    </row>
    <row r="232" spans="1:6" ht="15.75">
      <c r="A232" s="255">
        <f t="shared" si="11"/>
        <v>3</v>
      </c>
      <c r="B232" s="257" t="s">
        <v>674</v>
      </c>
      <c r="C232" s="114" t="s">
        <v>1135</v>
      </c>
      <c r="D232" s="335">
        <v>4</v>
      </c>
      <c r="E232" s="1241">
        <v>1589</v>
      </c>
      <c r="F232" s="462">
        <f t="shared" si="10"/>
        <v>6356</v>
      </c>
    </row>
    <row r="233" spans="1:6" ht="15.75">
      <c r="A233" s="255">
        <f t="shared" si="11"/>
        <v>4</v>
      </c>
      <c r="B233" s="257" t="s">
        <v>675</v>
      </c>
      <c r="C233" s="114" t="s">
        <v>1135</v>
      </c>
      <c r="D233" s="335">
        <v>2</v>
      </c>
      <c r="E233" s="1241">
        <v>800</v>
      </c>
      <c r="F233" s="462">
        <f t="shared" si="10"/>
        <v>1600</v>
      </c>
    </row>
    <row r="234" spans="1:6" ht="15.75">
      <c r="A234" s="255">
        <f t="shared" si="11"/>
        <v>5</v>
      </c>
      <c r="B234" s="257" t="s">
        <v>676</v>
      </c>
      <c r="C234" s="114" t="s">
        <v>1135</v>
      </c>
      <c r="D234" s="335">
        <v>2</v>
      </c>
      <c r="E234" s="1241">
        <v>1000</v>
      </c>
      <c r="F234" s="462">
        <f t="shared" si="10"/>
        <v>2000</v>
      </c>
    </row>
    <row r="235" spans="1:6" ht="15.75">
      <c r="A235" s="255">
        <f t="shared" si="11"/>
        <v>6</v>
      </c>
      <c r="B235" s="257" t="s">
        <v>677</v>
      </c>
      <c r="C235" s="114" t="s">
        <v>1135</v>
      </c>
      <c r="D235" s="335">
        <v>2</v>
      </c>
      <c r="E235" s="1241">
        <v>1000</v>
      </c>
      <c r="F235" s="462">
        <f t="shared" si="10"/>
        <v>2000</v>
      </c>
    </row>
    <row r="236" spans="1:6" ht="15.75">
      <c r="A236" s="255"/>
      <c r="B236" s="1873" t="s">
        <v>1948</v>
      </c>
      <c r="C236" s="1874"/>
      <c r="D236" s="1874"/>
      <c r="E236" s="1875"/>
      <c r="F236" s="1324">
        <f>SUM(F237:F253)</f>
        <v>148732.06</v>
      </c>
    </row>
    <row r="237" spans="1:6" ht="15.75">
      <c r="A237" s="255">
        <v>1</v>
      </c>
      <c r="B237" s="1253" t="s">
        <v>1949</v>
      </c>
      <c r="C237" s="147" t="s">
        <v>1950</v>
      </c>
      <c r="D237" s="147">
        <v>10</v>
      </c>
      <c r="E237" s="147">
        <v>66.77</v>
      </c>
      <c r="F237" s="1271">
        <f>ROUND(E237*D237,2)</f>
        <v>667.7</v>
      </c>
    </row>
    <row r="238" spans="1:6" ht="30">
      <c r="A238" s="255">
        <f>A237+1</f>
        <v>2</v>
      </c>
      <c r="B238" s="1254" t="s">
        <v>1951</v>
      </c>
      <c r="C238" s="147" t="s">
        <v>889</v>
      </c>
      <c r="D238" s="147">
        <v>2</v>
      </c>
      <c r="E238" s="147">
        <v>557.63</v>
      </c>
      <c r="F238" s="1271">
        <f t="shared" ref="F238:F253" si="12">ROUND(E238*D238,2)</f>
        <v>1115.26</v>
      </c>
    </row>
    <row r="239" spans="1:6" ht="15.75">
      <c r="A239" s="255">
        <f t="shared" ref="A239:A253" si="13">A238+1</f>
        <v>3</v>
      </c>
      <c r="B239" s="1253" t="s">
        <v>1952</v>
      </c>
      <c r="C239" s="147" t="s">
        <v>889</v>
      </c>
      <c r="D239" s="147">
        <v>10</v>
      </c>
      <c r="E239" s="147">
        <v>25</v>
      </c>
      <c r="F239" s="1271">
        <f t="shared" si="12"/>
        <v>250</v>
      </c>
    </row>
    <row r="240" spans="1:6" ht="15.75">
      <c r="A240" s="255">
        <f t="shared" si="13"/>
        <v>4</v>
      </c>
      <c r="B240" s="1253" t="s">
        <v>1953</v>
      </c>
      <c r="C240" s="147" t="s">
        <v>889</v>
      </c>
      <c r="D240" s="147">
        <v>10</v>
      </c>
      <c r="E240" s="147">
        <v>98</v>
      </c>
      <c r="F240" s="1271">
        <f t="shared" si="12"/>
        <v>980</v>
      </c>
    </row>
    <row r="241" spans="1:6" ht="15.75">
      <c r="A241" s="255">
        <f t="shared" si="13"/>
        <v>5</v>
      </c>
      <c r="B241" s="1253" t="s">
        <v>1954</v>
      </c>
      <c r="C241" s="147" t="s">
        <v>450</v>
      </c>
      <c r="D241" s="147">
        <v>30</v>
      </c>
      <c r="E241" s="147">
        <v>12.19</v>
      </c>
      <c r="F241" s="1271">
        <f t="shared" si="12"/>
        <v>365.7</v>
      </c>
    </row>
    <row r="242" spans="1:6" ht="15.75">
      <c r="A242" s="255">
        <f t="shared" si="13"/>
        <v>6</v>
      </c>
      <c r="B242" s="1253" t="s">
        <v>1955</v>
      </c>
      <c r="C242" s="147" t="s">
        <v>1956</v>
      </c>
      <c r="D242" s="147">
        <v>100</v>
      </c>
      <c r="E242" s="147">
        <v>26</v>
      </c>
      <c r="F242" s="1271">
        <f t="shared" si="12"/>
        <v>2600</v>
      </c>
    </row>
    <row r="243" spans="1:6" ht="15.75">
      <c r="A243" s="255">
        <f t="shared" si="13"/>
        <v>7</v>
      </c>
      <c r="B243" s="1253" t="s">
        <v>1957</v>
      </c>
      <c r="C243" s="147" t="s">
        <v>1958</v>
      </c>
      <c r="D243" s="147">
        <v>20</v>
      </c>
      <c r="E243" s="147">
        <v>16.98</v>
      </c>
      <c r="F243" s="1271">
        <f t="shared" si="12"/>
        <v>339.6</v>
      </c>
    </row>
    <row r="244" spans="1:6" ht="15.75">
      <c r="A244" s="255">
        <f t="shared" si="13"/>
        <v>8</v>
      </c>
      <c r="B244" s="1253" t="s">
        <v>1959</v>
      </c>
      <c r="C244" s="147" t="s">
        <v>1958</v>
      </c>
      <c r="D244" s="147">
        <v>20</v>
      </c>
      <c r="E244" s="147">
        <v>58.69</v>
      </c>
      <c r="F244" s="1271">
        <f t="shared" si="12"/>
        <v>1173.8</v>
      </c>
    </row>
    <row r="245" spans="1:6" ht="15.75">
      <c r="A245" s="255">
        <f t="shared" si="13"/>
        <v>9</v>
      </c>
      <c r="B245" s="1253" t="s">
        <v>1960</v>
      </c>
      <c r="C245" s="147" t="s">
        <v>1958</v>
      </c>
      <c r="D245" s="147">
        <v>624</v>
      </c>
      <c r="E245" s="147">
        <v>190</v>
      </c>
      <c r="F245" s="1271">
        <f t="shared" si="12"/>
        <v>118560</v>
      </c>
    </row>
    <row r="246" spans="1:6" ht="15.75">
      <c r="A246" s="255">
        <f t="shared" si="13"/>
        <v>10</v>
      </c>
      <c r="B246" s="1253" t="s">
        <v>1961</v>
      </c>
      <c r="C246" s="147" t="s">
        <v>1958</v>
      </c>
      <c r="D246" s="147">
        <v>20</v>
      </c>
      <c r="E246" s="147">
        <v>420</v>
      </c>
      <c r="F246" s="1271">
        <f t="shared" si="12"/>
        <v>8400</v>
      </c>
    </row>
    <row r="247" spans="1:6" ht="15.75">
      <c r="A247" s="255">
        <f t="shared" si="13"/>
        <v>11</v>
      </c>
      <c r="B247" s="1253" t="s">
        <v>1962</v>
      </c>
      <c r="C247" s="147" t="s">
        <v>1958</v>
      </c>
      <c r="D247" s="147">
        <v>20</v>
      </c>
      <c r="E247" s="147">
        <v>149</v>
      </c>
      <c r="F247" s="1271">
        <f t="shared" si="12"/>
        <v>2980</v>
      </c>
    </row>
    <row r="248" spans="1:6" ht="15.75">
      <c r="A248" s="255">
        <f t="shared" si="13"/>
        <v>12</v>
      </c>
      <c r="B248" s="1253" t="s">
        <v>1963</v>
      </c>
      <c r="C248" s="147" t="s">
        <v>1958</v>
      </c>
      <c r="D248" s="147">
        <v>10</v>
      </c>
      <c r="E248" s="147">
        <v>245</v>
      </c>
      <c r="F248" s="1271">
        <f t="shared" si="12"/>
        <v>2450</v>
      </c>
    </row>
    <row r="249" spans="1:6" ht="15.75">
      <c r="A249" s="255">
        <f t="shared" si="13"/>
        <v>13</v>
      </c>
      <c r="B249" s="1253" t="s">
        <v>1964</v>
      </c>
      <c r="C249" s="147" t="s">
        <v>1958</v>
      </c>
      <c r="D249" s="147">
        <v>10</v>
      </c>
      <c r="E249" s="147">
        <v>156</v>
      </c>
      <c r="F249" s="1271">
        <f t="shared" si="12"/>
        <v>1560</v>
      </c>
    </row>
    <row r="250" spans="1:6" ht="15.75">
      <c r="A250" s="255">
        <f t="shared" si="13"/>
        <v>14</v>
      </c>
      <c r="B250" s="1253" t="s">
        <v>1965</v>
      </c>
      <c r="C250" s="147" t="s">
        <v>1958</v>
      </c>
      <c r="D250" s="147">
        <v>10</v>
      </c>
      <c r="E250" s="147">
        <v>290</v>
      </c>
      <c r="F250" s="1271">
        <f t="shared" si="12"/>
        <v>2900</v>
      </c>
    </row>
    <row r="251" spans="1:6" ht="15.75">
      <c r="A251" s="255">
        <f t="shared" si="13"/>
        <v>15</v>
      </c>
      <c r="B251" s="1253" t="s">
        <v>1966</v>
      </c>
      <c r="C251" s="147" t="s">
        <v>1950</v>
      </c>
      <c r="D251" s="147">
        <v>10</v>
      </c>
      <c r="E251" s="147">
        <v>145</v>
      </c>
      <c r="F251" s="1271">
        <f t="shared" si="12"/>
        <v>1450</v>
      </c>
    </row>
    <row r="252" spans="1:6" ht="15.75">
      <c r="A252" s="255">
        <f t="shared" si="13"/>
        <v>16</v>
      </c>
      <c r="B252" s="1253" t="s">
        <v>1967</v>
      </c>
      <c r="C252" s="147" t="s">
        <v>1958</v>
      </c>
      <c r="D252" s="147">
        <v>10</v>
      </c>
      <c r="E252" s="147">
        <v>145</v>
      </c>
      <c r="F252" s="1271">
        <f t="shared" si="12"/>
        <v>1450</v>
      </c>
    </row>
    <row r="253" spans="1:6" ht="15.75">
      <c r="A253" s="255">
        <f t="shared" si="13"/>
        <v>17</v>
      </c>
      <c r="B253" s="1253" t="s">
        <v>716</v>
      </c>
      <c r="C253" s="147" t="s">
        <v>1958</v>
      </c>
      <c r="D253" s="147">
        <v>10</v>
      </c>
      <c r="E253" s="147">
        <v>149</v>
      </c>
      <c r="F253" s="1271">
        <f t="shared" si="12"/>
        <v>1490</v>
      </c>
    </row>
    <row r="254" spans="1:6" ht="15.75">
      <c r="A254" s="255"/>
      <c r="B254" s="1876" t="s">
        <v>717</v>
      </c>
      <c r="C254" s="1877"/>
      <c r="D254" s="1877"/>
      <c r="E254" s="1878"/>
      <c r="F254" s="1324">
        <f>SUM(F255:F261)</f>
        <v>8672</v>
      </c>
    </row>
    <row r="255" spans="1:6" ht="15.75">
      <c r="A255" s="255">
        <v>1</v>
      </c>
      <c r="B255" s="1253" t="s">
        <v>718</v>
      </c>
      <c r="C255" s="147" t="s">
        <v>889</v>
      </c>
      <c r="D255" s="147">
        <v>3</v>
      </c>
      <c r="E255" s="147">
        <v>215</v>
      </c>
      <c r="F255" s="1271">
        <f>ROUND(E255*D255,2)</f>
        <v>645</v>
      </c>
    </row>
    <row r="256" spans="1:6" ht="15.75">
      <c r="A256" s="255">
        <f t="shared" ref="A256:A261" si="14">A255+1</f>
        <v>2</v>
      </c>
      <c r="B256" s="1253" t="s">
        <v>719</v>
      </c>
      <c r="C256" s="147" t="s">
        <v>889</v>
      </c>
      <c r="D256" s="147">
        <v>9</v>
      </c>
      <c r="E256" s="147">
        <v>215</v>
      </c>
      <c r="F256" s="1271">
        <f t="shared" ref="F256:F261" si="15">ROUND(E256*D256,2)</f>
        <v>1935</v>
      </c>
    </row>
    <row r="257" spans="1:8" ht="15.75">
      <c r="A257" s="255">
        <f t="shared" si="14"/>
        <v>3</v>
      </c>
      <c r="B257" s="1253" t="s">
        <v>720</v>
      </c>
      <c r="C257" s="147" t="s">
        <v>889</v>
      </c>
      <c r="D257" s="147">
        <v>8</v>
      </c>
      <c r="E257" s="147">
        <v>120</v>
      </c>
      <c r="F257" s="1271">
        <f t="shared" si="15"/>
        <v>960</v>
      </c>
    </row>
    <row r="258" spans="1:8" ht="15.75">
      <c r="A258" s="255">
        <f t="shared" si="14"/>
        <v>4</v>
      </c>
      <c r="B258" s="1253" t="s">
        <v>721</v>
      </c>
      <c r="C258" s="147" t="s">
        <v>889</v>
      </c>
      <c r="D258" s="147">
        <v>5</v>
      </c>
      <c r="E258" s="147">
        <v>120</v>
      </c>
      <c r="F258" s="1271">
        <f t="shared" si="15"/>
        <v>600</v>
      </c>
    </row>
    <row r="259" spans="1:8" ht="15.75">
      <c r="A259" s="255">
        <f t="shared" si="14"/>
        <v>5</v>
      </c>
      <c r="B259" s="1253" t="s">
        <v>722</v>
      </c>
      <c r="C259" s="147" t="s">
        <v>889</v>
      </c>
      <c r="D259" s="147">
        <v>7</v>
      </c>
      <c r="E259" s="147">
        <v>126</v>
      </c>
      <c r="F259" s="1271">
        <f t="shared" si="15"/>
        <v>882</v>
      </c>
    </row>
    <row r="260" spans="1:8" ht="15.75">
      <c r="A260" s="255">
        <f t="shared" si="14"/>
        <v>6</v>
      </c>
      <c r="B260" s="1253" t="s">
        <v>723</v>
      </c>
      <c r="C260" s="147" t="s">
        <v>889</v>
      </c>
      <c r="D260" s="147">
        <v>15</v>
      </c>
      <c r="E260" s="147">
        <v>126</v>
      </c>
      <c r="F260" s="1271">
        <f t="shared" si="15"/>
        <v>1890</v>
      </c>
    </row>
    <row r="261" spans="1:8" ht="15.75" hidden="1">
      <c r="A261" s="255">
        <f t="shared" si="14"/>
        <v>7</v>
      </c>
      <c r="B261" s="1253" t="s">
        <v>724</v>
      </c>
      <c r="C261" s="147" t="s">
        <v>889</v>
      </c>
      <c r="D261" s="147">
        <v>200</v>
      </c>
      <c r="E261" s="147">
        <v>8.8000000000000007</v>
      </c>
      <c r="F261" s="1234">
        <f t="shared" si="15"/>
        <v>1760</v>
      </c>
    </row>
    <row r="262" spans="1:8" ht="15.75" hidden="1">
      <c r="A262" s="255"/>
      <c r="B262" s="1867" t="s">
        <v>725</v>
      </c>
      <c r="C262" s="1868"/>
      <c r="D262" s="1868"/>
      <c r="E262" s="1869"/>
      <c r="F262" s="1234"/>
    </row>
    <row r="263" spans="1:8" ht="15.75" hidden="1">
      <c r="A263" s="255"/>
      <c r="B263" s="1253"/>
      <c r="C263" s="147"/>
      <c r="D263" s="147"/>
      <c r="E263" s="147"/>
      <c r="F263" s="1234"/>
    </row>
    <row r="264" spans="1:8" ht="15.75" hidden="1">
      <c r="A264" s="255"/>
      <c r="B264" s="1253"/>
      <c r="C264" s="147"/>
      <c r="D264" s="147"/>
      <c r="E264" s="147"/>
      <c r="F264" s="1234"/>
    </row>
    <row r="265" spans="1:8" ht="15.75" hidden="1">
      <c r="A265" s="255"/>
      <c r="B265" s="1253"/>
      <c r="C265" s="147"/>
      <c r="D265" s="147"/>
      <c r="E265" s="147"/>
      <c r="F265" s="1234"/>
    </row>
    <row r="266" spans="1:8" ht="15.75" hidden="1">
      <c r="A266" s="255"/>
      <c r="B266" s="1253"/>
      <c r="C266" s="147"/>
      <c r="D266" s="147"/>
      <c r="E266" s="147"/>
      <c r="F266" s="1234"/>
    </row>
    <row r="267" spans="1:8" ht="15.75" hidden="1">
      <c r="A267" s="255"/>
      <c r="B267" s="1253"/>
      <c r="C267" s="147"/>
      <c r="D267" s="147"/>
      <c r="E267" s="147"/>
      <c r="F267" s="1234"/>
    </row>
    <row r="268" spans="1:8" ht="15.75">
      <c r="A268" s="1870" t="s">
        <v>183</v>
      </c>
      <c r="B268" s="1870"/>
      <c r="C268" s="1870"/>
      <c r="D268" s="1870"/>
      <c r="E268" s="1870"/>
      <c r="F268" s="248">
        <f>F7+F34+F53+F89+F120+F158+F183+F197+F214+F219+F222+F229+F236+F254</f>
        <v>787789.97</v>
      </c>
    </row>
    <row r="269" spans="1:8" s="207" customFormat="1" ht="15.75">
      <c r="A269" s="515"/>
      <c r="B269" s="515"/>
      <c r="C269" s="515"/>
      <c r="D269" s="515"/>
      <c r="E269" s="515"/>
      <c r="F269" s="520"/>
      <c r="G269" s="511"/>
      <c r="H269" s="311"/>
    </row>
    <row r="270" spans="1:8" s="207" customFormat="1" ht="15.75">
      <c r="B270" s="506" t="s">
        <v>1077</v>
      </c>
      <c r="C270" s="507"/>
      <c r="D270" s="311"/>
      <c r="E270" s="311"/>
      <c r="F270" s="507" t="s">
        <v>1040</v>
      </c>
      <c r="G270" s="511"/>
      <c r="H270" s="511"/>
    </row>
    <row r="271" spans="1:8" s="207" customFormat="1" ht="31.5">
      <c r="B271" s="221"/>
      <c r="C271" s="1252" t="s">
        <v>1078</v>
      </c>
      <c r="D271" s="217"/>
      <c r="E271" s="217"/>
      <c r="F271" s="1252" t="s">
        <v>1079</v>
      </c>
      <c r="G271" s="510"/>
      <c r="H271" s="311"/>
    </row>
    <row r="272" spans="1:8" s="207" customFormat="1" ht="15.75">
      <c r="B272" s="514" t="s">
        <v>1076</v>
      </c>
      <c r="C272" s="507"/>
      <c r="D272" s="311"/>
      <c r="E272" s="311"/>
      <c r="F272" s="507" t="s">
        <v>1245</v>
      </c>
      <c r="G272" s="511"/>
      <c r="H272" s="511"/>
    </row>
    <row r="273" spans="1:6" ht="31.5">
      <c r="A273" s="207"/>
      <c r="B273" s="221"/>
      <c r="C273" s="217" t="s">
        <v>1078</v>
      </c>
      <c r="D273" s="217"/>
      <c r="E273" s="217"/>
      <c r="F273" s="510" t="s">
        <v>1079</v>
      </c>
    </row>
    <row r="274" spans="1:6" s="27" customFormat="1">
      <c r="A274" s="26"/>
      <c r="B274" s="26"/>
      <c r="C274" s="72"/>
      <c r="D274" s="72"/>
      <c r="E274" s="72"/>
      <c r="F274" s="72"/>
    </row>
    <row r="275" spans="1:6">
      <c r="A275" s="27"/>
      <c r="B275" s="27"/>
      <c r="C275" s="73"/>
      <c r="D275" s="27"/>
      <c r="E275" s="27"/>
      <c r="F275" s="27"/>
    </row>
  </sheetData>
  <mergeCells count="19">
    <mergeCell ref="B262:E262"/>
    <mergeCell ref="B2:F2"/>
    <mergeCell ref="A3:F3"/>
    <mergeCell ref="A4:F4"/>
    <mergeCell ref="A7:E7"/>
    <mergeCell ref="A268:E268"/>
    <mergeCell ref="B219:E219"/>
    <mergeCell ref="B222:E222"/>
    <mergeCell ref="B229:E229"/>
    <mergeCell ref="B236:E236"/>
    <mergeCell ref="B254:E254"/>
    <mergeCell ref="A34:E34"/>
    <mergeCell ref="B197:E197"/>
    <mergeCell ref="B214:E214"/>
    <mergeCell ref="B120:E120"/>
    <mergeCell ref="B158:E158"/>
    <mergeCell ref="B183:E183"/>
    <mergeCell ref="B53:E53"/>
    <mergeCell ref="B89:E89"/>
  </mergeCells>
  <phoneticPr fontId="116" type="noConversion"/>
  <pageMargins left="0.7" right="0.7" top="0.75" bottom="0.75" header="0.3" footer="0.3"/>
  <pageSetup paperSize="9" scale="93" orientation="portrait" horizontalDpi="300" verticalDpi="300" r:id="rId1"/>
  <colBreaks count="1" manualBreakCount="1">
    <brk id="6" max="239" man="1"/>
  </colBreaks>
</worksheet>
</file>

<file path=xl/worksheets/sheet41.xml><?xml version="1.0" encoding="utf-8"?>
<worksheet xmlns="http://schemas.openxmlformats.org/spreadsheetml/2006/main" xmlns:r="http://schemas.openxmlformats.org/officeDocument/2006/relationships">
  <sheetPr codeName="Лист18">
    <tabColor theme="9" tint="-0.249977111117893"/>
    <pageSetUpPr fitToPage="1"/>
  </sheetPr>
  <dimension ref="A1:O57"/>
  <sheetViews>
    <sheetView view="pageBreakPreview" topLeftCell="A37" zoomScale="76" zoomScaleNormal="100" zoomScaleSheetLayoutView="76" workbookViewId="0">
      <selection activeCell="O29" sqref="O29"/>
    </sheetView>
  </sheetViews>
  <sheetFormatPr defaultRowHeight="15"/>
  <cols>
    <col min="1" max="1" width="5.28515625" style="28" customWidth="1"/>
    <col min="2" max="2" width="17.7109375" style="30" customWidth="1"/>
    <col min="3" max="3" width="19.28515625" style="30" customWidth="1"/>
    <col min="4" max="4" width="14.85546875" style="28" customWidth="1"/>
    <col min="5" max="5" width="11.5703125" style="28" customWidth="1"/>
    <col min="6" max="6" width="11.140625" style="28" customWidth="1"/>
    <col min="7" max="7" width="17.42578125" style="28" customWidth="1"/>
    <col min="8" max="8" width="11.85546875" style="28" customWidth="1"/>
    <col min="9" max="9" width="17" style="28" hidden="1" customWidth="1"/>
    <col min="10" max="10" width="11.85546875" style="28" customWidth="1"/>
    <col min="11" max="11" width="9.5703125" style="28" customWidth="1"/>
    <col min="12" max="12" width="15.5703125" style="28" customWidth="1"/>
    <col min="13" max="13" width="9.140625" style="30"/>
    <col min="14" max="14" width="13.140625" style="30" bestFit="1" customWidth="1"/>
    <col min="15" max="16384" width="9.140625" style="30"/>
  </cols>
  <sheetData>
    <row r="1" spans="1:14" ht="15.75">
      <c r="A1" s="267"/>
      <c r="B1" s="288"/>
      <c r="C1" s="288"/>
      <c r="D1" s="267"/>
      <c r="E1" s="267"/>
      <c r="F1" s="267"/>
      <c r="G1" s="267"/>
      <c r="H1" s="267"/>
      <c r="I1" s="267"/>
      <c r="J1" s="267"/>
      <c r="K1" s="267"/>
      <c r="L1" s="209" t="s">
        <v>962</v>
      </c>
    </row>
    <row r="2" spans="1:14" ht="15.75">
      <c r="A2" s="267"/>
      <c r="B2" s="288"/>
      <c r="C2" s="288"/>
      <c r="D2" s="267"/>
      <c r="E2" s="267"/>
      <c r="F2" s="267"/>
      <c r="G2" s="267"/>
      <c r="H2" s="267"/>
      <c r="I2" s="267"/>
      <c r="J2" s="267"/>
      <c r="K2" s="267"/>
      <c r="L2" s="209"/>
    </row>
    <row r="3" spans="1:14" ht="15.75">
      <c r="A3" s="1809" t="s">
        <v>1720</v>
      </c>
      <c r="B3" s="1862"/>
      <c r="C3" s="1862"/>
      <c r="D3" s="1862"/>
      <c r="E3" s="1862"/>
      <c r="F3" s="1862"/>
      <c r="G3" s="1862"/>
      <c r="H3" s="1862"/>
      <c r="I3" s="1862"/>
      <c r="J3" s="1862"/>
      <c r="K3" s="1862"/>
      <c r="L3" s="1862"/>
    </row>
    <row r="4" spans="1:14" ht="15.75">
      <c r="A4" s="1891"/>
      <c r="B4" s="1891"/>
      <c r="C4" s="1891"/>
      <c r="D4" s="1891"/>
      <c r="E4" s="1891"/>
      <c r="F4" s="1891"/>
      <c r="G4" s="1891"/>
      <c r="H4" s="1891"/>
      <c r="I4" s="1891"/>
      <c r="J4" s="1891"/>
      <c r="K4" s="1891"/>
      <c r="L4" s="1891"/>
    </row>
    <row r="5" spans="1:14" ht="15.75">
      <c r="A5" s="267"/>
      <c r="B5" s="1478" t="s">
        <v>229</v>
      </c>
      <c r="C5" s="1478"/>
      <c r="D5" s="1478"/>
      <c r="E5" s="1478"/>
      <c r="F5" s="267"/>
      <c r="G5" s="267"/>
      <c r="H5" s="267"/>
      <c r="I5" s="267"/>
      <c r="J5" s="267"/>
      <c r="K5" s="267"/>
      <c r="L5" s="267"/>
    </row>
    <row r="6" spans="1:14" s="74" customFormat="1" ht="94.5">
      <c r="A6" s="228" t="s">
        <v>1267</v>
      </c>
      <c r="B6" s="228" t="s">
        <v>1740</v>
      </c>
      <c r="C6" s="228" t="s">
        <v>230</v>
      </c>
      <c r="D6" s="268" t="s">
        <v>1739</v>
      </c>
      <c r="E6" s="228" t="s">
        <v>1497</v>
      </c>
      <c r="F6" s="228" t="s">
        <v>1498</v>
      </c>
      <c r="G6" s="228" t="s">
        <v>1499</v>
      </c>
      <c r="H6" s="228" t="s">
        <v>1500</v>
      </c>
      <c r="I6" s="268" t="s">
        <v>1026</v>
      </c>
      <c r="J6" s="228" t="s">
        <v>1501</v>
      </c>
      <c r="K6" s="228" t="s">
        <v>1502</v>
      </c>
      <c r="L6" s="228" t="s">
        <v>1260</v>
      </c>
    </row>
    <row r="7" spans="1:14" s="74" customFormat="1" ht="15.75">
      <c r="A7" s="228">
        <v>1</v>
      </c>
      <c r="B7" s="228">
        <v>2</v>
      </c>
      <c r="C7" s="228">
        <v>3</v>
      </c>
      <c r="D7" s="268">
        <v>4</v>
      </c>
      <c r="E7" s="228">
        <v>5</v>
      </c>
      <c r="F7" s="228">
        <v>6</v>
      </c>
      <c r="G7" s="228">
        <v>7</v>
      </c>
      <c r="H7" s="228">
        <v>8</v>
      </c>
      <c r="I7" s="268">
        <v>9</v>
      </c>
      <c r="J7" s="228">
        <v>9</v>
      </c>
      <c r="K7" s="228">
        <v>10</v>
      </c>
      <c r="L7" s="396">
        <v>11</v>
      </c>
    </row>
    <row r="8" spans="1:14" ht="15.75" customHeight="1">
      <c r="A8" s="246">
        <v>1</v>
      </c>
      <c r="B8" s="1130" t="s">
        <v>475</v>
      </c>
      <c r="C8" s="1131" t="s">
        <v>478</v>
      </c>
      <c r="D8" s="1132">
        <v>20415</v>
      </c>
      <c r="E8" s="1133">
        <v>19.25</v>
      </c>
      <c r="F8" s="270">
        <f>ROUND(D8*E8/100/12*1.15*5.5,2)</f>
        <v>2071.38</v>
      </c>
      <c r="G8" s="270">
        <f>ROUND(D8*E8/100/12*6.5,2)</f>
        <v>2128.69</v>
      </c>
      <c r="H8" s="270">
        <f>F8+G8</f>
        <v>4200.07</v>
      </c>
      <c r="I8" s="270"/>
      <c r="J8" s="270">
        <f>H8+I8</f>
        <v>4200.07</v>
      </c>
      <c r="K8" s="271">
        <v>38.200000000000003</v>
      </c>
      <c r="L8" s="1135">
        <f>J8*K8</f>
        <v>160442.674</v>
      </c>
      <c r="N8" s="30">
        <f>H8/12</f>
        <v>350.00583333333333</v>
      </c>
    </row>
    <row r="9" spans="1:14" ht="15.75" customHeight="1">
      <c r="A9" s="246">
        <v>2</v>
      </c>
      <c r="B9" s="1130" t="s">
        <v>476</v>
      </c>
      <c r="C9" s="1131" t="s">
        <v>478</v>
      </c>
      <c r="D9" s="1132">
        <v>26649</v>
      </c>
      <c r="E9" s="1133">
        <v>31.6</v>
      </c>
      <c r="F9" s="270">
        <f>ROUND(D9*E9/100/12*1.15*5.5,2)</f>
        <v>4438.6099999999997</v>
      </c>
      <c r="G9" s="270">
        <f>ROUND(D9*E9/100/12*6.5,2)</f>
        <v>4561.42</v>
      </c>
      <c r="H9" s="270">
        <f>F9+G9</f>
        <v>9000.0299999999988</v>
      </c>
      <c r="I9" s="270"/>
      <c r="J9" s="270">
        <f>H9+I9</f>
        <v>9000.0299999999988</v>
      </c>
      <c r="K9" s="271">
        <v>38.200000000000003</v>
      </c>
      <c r="L9" s="1135">
        <f>J9*K9</f>
        <v>343801.14600000001</v>
      </c>
      <c r="N9" s="30">
        <f>H9/12</f>
        <v>750.00249999999994</v>
      </c>
    </row>
    <row r="10" spans="1:14" ht="15.75" customHeight="1">
      <c r="A10" s="246">
        <v>3</v>
      </c>
      <c r="B10" s="1130" t="s">
        <v>477</v>
      </c>
      <c r="C10" s="1131" t="s">
        <v>478</v>
      </c>
      <c r="D10" s="1132">
        <v>6199</v>
      </c>
      <c r="E10" s="1133">
        <v>30.8</v>
      </c>
      <c r="F10" s="270">
        <f>ROUND(D10*E10/100/12*1.15*5.5,2)</f>
        <v>1006.36</v>
      </c>
      <c r="G10" s="270">
        <f>ROUND(D10*E10/100/12*6.5,2)</f>
        <v>1034.2</v>
      </c>
      <c r="H10" s="270">
        <f>F10+G10</f>
        <v>2040.56</v>
      </c>
      <c r="I10" s="270"/>
      <c r="J10" s="270">
        <f>H10+I10</f>
        <v>2040.56</v>
      </c>
      <c r="K10" s="271">
        <v>38.200000000000003</v>
      </c>
      <c r="L10" s="1135">
        <f>J10*K10</f>
        <v>77949.392000000007</v>
      </c>
      <c r="N10" s="30">
        <f>H10/12</f>
        <v>170.04666666666665</v>
      </c>
    </row>
    <row r="11" spans="1:14" ht="18.75" customHeight="1">
      <c r="A11" s="246">
        <v>4</v>
      </c>
      <c r="B11" s="1134" t="s">
        <v>482</v>
      </c>
      <c r="C11" s="1131" t="s">
        <v>478</v>
      </c>
      <c r="D11" s="1132">
        <v>34025</v>
      </c>
      <c r="E11" s="1133">
        <v>16.5</v>
      </c>
      <c r="F11" s="270">
        <f>ROUND(D11*E11/100/12*1.15*5.5,2)</f>
        <v>2959.11</v>
      </c>
      <c r="G11" s="270">
        <f>ROUND(D11*E11/100/12*6.5,2)</f>
        <v>3040.98</v>
      </c>
      <c r="H11" s="270">
        <f>F11+G11</f>
        <v>6000.09</v>
      </c>
      <c r="I11" s="270"/>
      <c r="J11" s="270">
        <f>H11+I11</f>
        <v>6000.09</v>
      </c>
      <c r="K11" s="271">
        <v>38.200000000000003</v>
      </c>
      <c r="L11" s="1135">
        <f>J11*K11</f>
        <v>229203.43800000002</v>
      </c>
      <c r="N11" s="30">
        <f>H11/12</f>
        <v>500.00749999999999</v>
      </c>
    </row>
    <row r="12" spans="1:14" ht="15.75">
      <c r="A12" s="1887" t="s">
        <v>183</v>
      </c>
      <c r="B12" s="1888"/>
      <c r="C12" s="1888"/>
      <c r="D12" s="1888"/>
      <c r="E12" s="1888"/>
      <c r="F12" s="1888"/>
      <c r="G12" s="1888"/>
      <c r="H12" s="1888"/>
      <c r="I12" s="1888"/>
      <c r="J12" s="1888"/>
      <c r="K12" s="1889"/>
      <c r="L12" s="1136">
        <f>SUM(L8:L11)</f>
        <v>811396.65000000014</v>
      </c>
    </row>
    <row r="13" spans="1:14" ht="15.75">
      <c r="A13" s="267"/>
      <c r="B13" s="272"/>
      <c r="C13" s="272"/>
      <c r="D13" s="273"/>
      <c r="E13" s="267"/>
      <c r="F13" s="267"/>
      <c r="G13" s="267"/>
      <c r="H13" s="267"/>
      <c r="I13" s="274"/>
      <c r="J13" s="267"/>
      <c r="K13" s="275"/>
      <c r="L13" s="275"/>
    </row>
    <row r="14" spans="1:14" ht="15.75" hidden="1">
      <c r="A14" s="267"/>
      <c r="B14" s="1814" t="s">
        <v>1677</v>
      </c>
      <c r="C14" s="1814"/>
      <c r="D14" s="1814"/>
      <c r="E14" s="1814"/>
      <c r="F14" s="1814"/>
      <c r="G14" s="1814"/>
      <c r="H14" s="1814"/>
      <c r="I14" s="274"/>
      <c r="J14" s="267"/>
      <c r="K14" s="275"/>
      <c r="L14" s="275"/>
    </row>
    <row r="15" spans="1:14" ht="78.75" hidden="1">
      <c r="A15" s="228" t="s">
        <v>1267</v>
      </c>
      <c r="B15" s="228" t="s">
        <v>1740</v>
      </c>
      <c r="C15" s="228" t="s">
        <v>230</v>
      </c>
      <c r="D15" s="268" t="s">
        <v>1678</v>
      </c>
      <c r="E15" s="228" t="s">
        <v>1679</v>
      </c>
      <c r="F15" s="228" t="s">
        <v>1027</v>
      </c>
      <c r="G15" s="228" t="s">
        <v>1680</v>
      </c>
      <c r="H15" s="228" t="s">
        <v>1681</v>
      </c>
      <c r="I15" s="228" t="s">
        <v>1502</v>
      </c>
      <c r="J15" s="228" t="s">
        <v>1028</v>
      </c>
      <c r="K15" s="137"/>
      <c r="L15" s="137"/>
    </row>
    <row r="16" spans="1:14" ht="15.75" hidden="1">
      <c r="A16" s="228">
        <v>1</v>
      </c>
      <c r="B16" s="228">
        <v>2</v>
      </c>
      <c r="C16" s="228">
        <v>3</v>
      </c>
      <c r="D16" s="268">
        <v>4</v>
      </c>
      <c r="E16" s="228">
        <v>5</v>
      </c>
      <c r="F16" s="228">
        <v>6</v>
      </c>
      <c r="G16" s="228">
        <v>7</v>
      </c>
      <c r="H16" s="228">
        <v>8</v>
      </c>
      <c r="I16" s="276">
        <v>9</v>
      </c>
      <c r="J16" s="228">
        <v>10</v>
      </c>
      <c r="K16" s="137"/>
      <c r="L16" s="137"/>
    </row>
    <row r="17" spans="1:15" ht="15.75" hidden="1">
      <c r="A17" s="246">
        <v>1</v>
      </c>
      <c r="B17" s="265"/>
      <c r="C17" s="265"/>
      <c r="D17" s="269"/>
      <c r="E17" s="270"/>
      <c r="F17" s="270"/>
      <c r="G17" s="270"/>
      <c r="H17" s="270"/>
      <c r="I17" s="277"/>
      <c r="J17" s="270"/>
      <c r="K17" s="278"/>
      <c r="L17" s="278"/>
    </row>
    <row r="18" spans="1:15" ht="15.75" hidden="1">
      <c r="A18" s="246">
        <v>2</v>
      </c>
      <c r="B18" s="265"/>
      <c r="C18" s="265"/>
      <c r="D18" s="269"/>
      <c r="E18" s="270"/>
      <c r="F18" s="270"/>
      <c r="G18" s="270"/>
      <c r="H18" s="270"/>
      <c r="I18" s="277"/>
      <c r="J18" s="270"/>
      <c r="K18" s="278"/>
      <c r="L18" s="278"/>
    </row>
    <row r="19" spans="1:15" ht="15.75" hidden="1">
      <c r="A19" s="246">
        <v>3</v>
      </c>
      <c r="B19" s="265"/>
      <c r="C19" s="265"/>
      <c r="D19" s="269"/>
      <c r="E19" s="270"/>
      <c r="F19" s="270"/>
      <c r="G19" s="270"/>
      <c r="H19" s="270"/>
      <c r="I19" s="277"/>
      <c r="J19" s="270"/>
      <c r="K19" s="278"/>
      <c r="L19" s="278"/>
    </row>
    <row r="20" spans="1:15" ht="15.75" hidden="1">
      <c r="A20" s="246">
        <v>4</v>
      </c>
      <c r="B20" s="265"/>
      <c r="C20" s="265"/>
      <c r="D20" s="270"/>
      <c r="E20" s="270"/>
      <c r="F20" s="270"/>
      <c r="G20" s="270"/>
      <c r="H20" s="270"/>
      <c r="I20" s="270"/>
      <c r="J20" s="270"/>
      <c r="K20" s="278"/>
      <c r="L20" s="278"/>
    </row>
    <row r="21" spans="1:15" ht="15" hidden="1" customHeight="1">
      <c r="A21" s="1892" t="s">
        <v>183</v>
      </c>
      <c r="B21" s="1892"/>
      <c r="C21" s="1892"/>
      <c r="D21" s="1892"/>
      <c r="E21" s="1892"/>
      <c r="F21" s="1892"/>
      <c r="G21" s="1892"/>
      <c r="H21" s="1892"/>
      <c r="I21" s="1892"/>
      <c r="J21" s="279"/>
      <c r="K21" s="280"/>
      <c r="L21" s="281"/>
    </row>
    <row r="22" spans="1:15" ht="15" customHeight="1">
      <c r="A22" s="282"/>
      <c r="B22" s="282"/>
      <c r="C22" s="282"/>
      <c r="D22" s="282"/>
      <c r="E22" s="282"/>
      <c r="F22" s="282"/>
      <c r="G22" s="282"/>
      <c r="H22" s="282"/>
      <c r="I22" s="282"/>
      <c r="J22" s="280"/>
      <c r="K22" s="280"/>
      <c r="L22" s="281"/>
    </row>
    <row r="23" spans="1:15" ht="15.75" customHeight="1">
      <c r="A23" s="267"/>
      <c r="B23" s="1893" t="s">
        <v>1503</v>
      </c>
      <c r="C23" s="1893"/>
      <c r="D23" s="1893"/>
      <c r="E23" s="1893"/>
      <c r="F23" s="1893"/>
      <c r="G23" s="1893"/>
      <c r="H23" s="267"/>
      <c r="I23" s="267"/>
      <c r="J23" s="267"/>
      <c r="K23" s="275"/>
      <c r="L23" s="275"/>
    </row>
    <row r="24" spans="1:15" s="74" customFormat="1" ht="63">
      <c r="A24" s="228" t="s">
        <v>1267</v>
      </c>
      <c r="B24" s="228" t="s">
        <v>1300</v>
      </c>
      <c r="C24" s="228" t="s">
        <v>1504</v>
      </c>
      <c r="D24" s="228" t="s">
        <v>1505</v>
      </c>
      <c r="E24" s="228" t="s">
        <v>1506</v>
      </c>
      <c r="F24" s="228" t="s">
        <v>223</v>
      </c>
      <c r="G24" s="228" t="s">
        <v>1029</v>
      </c>
      <c r="H24" s="283"/>
      <c r="I24" s="284"/>
      <c r="J24" s="284"/>
      <c r="K24" s="284"/>
      <c r="L24" s="284"/>
      <c r="M24" s="102"/>
      <c r="N24" s="103"/>
      <c r="O24" s="104"/>
    </row>
    <row r="25" spans="1:15" s="74" customFormat="1" ht="15.75">
      <c r="A25" s="237">
        <v>1</v>
      </c>
      <c r="B25" s="228">
        <v>2</v>
      </c>
      <c r="C25" s="228">
        <v>3</v>
      </c>
      <c r="D25" s="228">
        <v>4</v>
      </c>
      <c r="E25" s="228">
        <v>5</v>
      </c>
      <c r="F25" s="228">
        <v>6</v>
      </c>
      <c r="G25" s="228">
        <v>7</v>
      </c>
      <c r="H25" s="283"/>
      <c r="I25" s="284"/>
      <c r="J25" s="284"/>
      <c r="K25" s="284"/>
      <c r="L25" s="284"/>
      <c r="M25" s="102"/>
      <c r="N25" s="103"/>
      <c r="O25" s="104"/>
    </row>
    <row r="26" spans="1:15" s="74" customFormat="1" ht="15.75">
      <c r="A26" s="1516">
        <v>1</v>
      </c>
      <c r="B26" s="160" t="s">
        <v>479</v>
      </c>
      <c r="C26" s="228"/>
      <c r="D26" s="228"/>
      <c r="E26" s="285"/>
      <c r="F26" s="285"/>
      <c r="G26" s="1139">
        <f>G27+G28+G29+G30</f>
        <v>17014.529999999995</v>
      </c>
      <c r="H26" s="283"/>
      <c r="I26" s="284"/>
      <c r="J26" s="284"/>
      <c r="K26" s="284"/>
      <c r="L26" s="284"/>
      <c r="M26" s="102"/>
      <c r="N26" s="103"/>
      <c r="O26" s="104"/>
    </row>
    <row r="27" spans="1:15" ht="15.75">
      <c r="A27" s="1517"/>
      <c r="B27" s="305" t="s">
        <v>1507</v>
      </c>
      <c r="C27" s="246">
        <f>$J$8</f>
        <v>4200.07</v>
      </c>
      <c r="D27" s="1137">
        <v>2.42</v>
      </c>
      <c r="E27" s="1137">
        <f>ROUND((C27*D27/100),0)</f>
        <v>102</v>
      </c>
      <c r="F27" s="1142">
        <v>154.5</v>
      </c>
      <c r="G27" s="1140">
        <f>ROUND(F27*E27,2)</f>
        <v>15759</v>
      </c>
      <c r="H27" s="267"/>
      <c r="I27" s="284"/>
      <c r="J27" s="284"/>
      <c r="K27" s="284"/>
      <c r="L27" s="284"/>
      <c r="M27" s="102"/>
      <c r="N27" s="103"/>
      <c r="O27" s="89"/>
    </row>
    <row r="28" spans="1:15" ht="33" customHeight="1">
      <c r="A28" s="1517"/>
      <c r="B28" s="305" t="s">
        <v>1508</v>
      </c>
      <c r="C28" s="246">
        <f>$J$8</f>
        <v>4200.07</v>
      </c>
      <c r="D28" s="1137">
        <v>0.26</v>
      </c>
      <c r="E28" s="1137">
        <f>ROUND((C28*D28/100),0)</f>
        <v>11</v>
      </c>
      <c r="F28" s="1138">
        <v>59.72</v>
      </c>
      <c r="G28" s="1140">
        <f>ROUND(F28*E28,2)</f>
        <v>656.92</v>
      </c>
      <c r="H28" s="267"/>
      <c r="I28" s="284"/>
      <c r="J28" s="284"/>
      <c r="K28" s="284"/>
      <c r="L28" s="284"/>
      <c r="M28" s="102"/>
      <c r="N28" s="103"/>
      <c r="O28" s="89"/>
    </row>
    <row r="29" spans="1:15" ht="28.5" customHeight="1">
      <c r="A29" s="1517"/>
      <c r="B29" s="305" t="s">
        <v>1509</v>
      </c>
      <c r="C29" s="246">
        <f>$J$8</f>
        <v>4200.07</v>
      </c>
      <c r="D29" s="1137">
        <v>7.0000000000000007E-2</v>
      </c>
      <c r="E29" s="1137">
        <f>ROUND((C29*D29/100),0)</f>
        <v>3</v>
      </c>
      <c r="F29" s="1138">
        <v>42.64</v>
      </c>
      <c r="G29" s="1140">
        <f>ROUND(F29*E29,2)</f>
        <v>127.92</v>
      </c>
      <c r="H29" s="267"/>
      <c r="I29" s="284"/>
      <c r="J29" s="284"/>
      <c r="K29" s="284"/>
      <c r="L29" s="284"/>
      <c r="M29" s="102"/>
      <c r="N29" s="103"/>
      <c r="O29" s="89"/>
    </row>
    <row r="30" spans="1:15" ht="30" customHeight="1">
      <c r="A30" s="1518"/>
      <c r="B30" s="305" t="s">
        <v>1510</v>
      </c>
      <c r="C30" s="246">
        <f>$J$8</f>
        <v>4200.07</v>
      </c>
      <c r="D30" s="1137">
        <v>0.26</v>
      </c>
      <c r="E30" s="1137">
        <f>ROUND((C30*D30/100),0)</f>
        <v>11</v>
      </c>
      <c r="F30" s="1138">
        <v>42.79</v>
      </c>
      <c r="G30" s="1140">
        <f>ROUND(F30*E30,2)</f>
        <v>470.69</v>
      </c>
      <c r="H30" s="267"/>
      <c r="I30" s="284"/>
      <c r="J30" s="284"/>
      <c r="K30" s="284"/>
      <c r="L30" s="284"/>
      <c r="M30" s="102"/>
      <c r="N30" s="103"/>
      <c r="O30" s="89"/>
    </row>
    <row r="31" spans="1:15" s="74" customFormat="1" ht="31.5">
      <c r="A31" s="1516">
        <v>2</v>
      </c>
      <c r="B31" s="160" t="s">
        <v>480</v>
      </c>
      <c r="C31" s="228"/>
      <c r="D31" s="228"/>
      <c r="E31" s="285"/>
      <c r="F31" s="285"/>
      <c r="G31" s="1139">
        <f>G32+G33+G34+G35</f>
        <v>36294.569999999992</v>
      </c>
      <c r="H31" s="283"/>
      <c r="I31" s="284"/>
      <c r="J31" s="284"/>
      <c r="K31" s="284"/>
      <c r="L31" s="284"/>
      <c r="M31" s="102"/>
      <c r="N31" s="103"/>
      <c r="O31" s="104"/>
    </row>
    <row r="32" spans="1:15" ht="15.75">
      <c r="A32" s="1517"/>
      <c r="B32" s="305" t="s">
        <v>1507</v>
      </c>
      <c r="C32" s="246">
        <f>$J$9</f>
        <v>9000.0299999999988</v>
      </c>
      <c r="D32" s="1137">
        <v>2.42</v>
      </c>
      <c r="E32" s="1137">
        <f>ROUND((C32*D32/100),0)</f>
        <v>218</v>
      </c>
      <c r="F32" s="1142">
        <v>154.5</v>
      </c>
      <c r="G32" s="1140">
        <f>ROUND(F32*E32,2)</f>
        <v>33681</v>
      </c>
      <c r="H32" s="267"/>
      <c r="I32" s="284"/>
      <c r="J32" s="284"/>
      <c r="K32" s="284"/>
      <c r="L32" s="284"/>
      <c r="M32" s="102"/>
      <c r="N32" s="103"/>
      <c r="O32" s="89"/>
    </row>
    <row r="33" spans="1:15" ht="33" customHeight="1">
      <c r="A33" s="1517"/>
      <c r="B33" s="305" t="s">
        <v>1508</v>
      </c>
      <c r="C33" s="246">
        <f>$J$9</f>
        <v>9000.0299999999988</v>
      </c>
      <c r="D33" s="1137">
        <v>0.26</v>
      </c>
      <c r="E33" s="1137">
        <f>ROUND((C33*D33/100),0)</f>
        <v>23</v>
      </c>
      <c r="F33" s="1138">
        <v>59.72</v>
      </c>
      <c r="G33" s="1140">
        <f>ROUND(F33*E33,2)</f>
        <v>1373.56</v>
      </c>
      <c r="H33" s="267"/>
      <c r="I33" s="284"/>
      <c r="J33" s="284"/>
      <c r="K33" s="284"/>
      <c r="L33" s="284"/>
      <c r="M33" s="102"/>
      <c r="N33" s="103"/>
      <c r="O33" s="89"/>
    </row>
    <row r="34" spans="1:15" ht="28.5" customHeight="1">
      <c r="A34" s="1517"/>
      <c r="B34" s="305" t="s">
        <v>1509</v>
      </c>
      <c r="C34" s="246">
        <f>$J$9</f>
        <v>9000.0299999999988</v>
      </c>
      <c r="D34" s="1137">
        <v>7.0000000000000007E-2</v>
      </c>
      <c r="E34" s="1137">
        <f>ROUND((C34*D34/100),0)</f>
        <v>6</v>
      </c>
      <c r="F34" s="1138">
        <v>42.64</v>
      </c>
      <c r="G34" s="1140">
        <f>ROUND(F34*E34,2)</f>
        <v>255.84</v>
      </c>
      <c r="H34" s="267"/>
      <c r="I34" s="284"/>
      <c r="J34" s="284"/>
      <c r="K34" s="284"/>
      <c r="L34" s="284"/>
      <c r="M34" s="102"/>
      <c r="N34" s="103"/>
      <c r="O34" s="89"/>
    </row>
    <row r="35" spans="1:15" ht="30" customHeight="1">
      <c r="A35" s="1518"/>
      <c r="B35" s="305" t="s">
        <v>1510</v>
      </c>
      <c r="C35" s="246">
        <f>$J$9</f>
        <v>9000.0299999999988</v>
      </c>
      <c r="D35" s="1137">
        <v>0.26</v>
      </c>
      <c r="E35" s="1137">
        <f>ROUND((C35*D35/100),0)</f>
        <v>23</v>
      </c>
      <c r="F35" s="1138">
        <v>42.79</v>
      </c>
      <c r="G35" s="1140">
        <f>ROUND(F35*E35,2)</f>
        <v>984.17</v>
      </c>
      <c r="H35" s="267"/>
      <c r="I35" s="284"/>
      <c r="J35" s="284"/>
      <c r="K35" s="284"/>
      <c r="L35" s="284"/>
      <c r="M35" s="102"/>
      <c r="N35" s="103"/>
      <c r="O35" s="89"/>
    </row>
    <row r="36" spans="1:15" s="74" customFormat="1" ht="15.75">
      <c r="A36" s="1516">
        <v>3</v>
      </c>
      <c r="B36" s="160" t="s">
        <v>481</v>
      </c>
      <c r="C36" s="228"/>
      <c r="D36" s="228"/>
      <c r="E36" s="285"/>
      <c r="F36" s="285"/>
      <c r="G36" s="1139">
        <f>G37+G38+G39+G40</f>
        <v>8125.6900000000005</v>
      </c>
      <c r="H36" s="283"/>
      <c r="I36" s="284"/>
      <c r="J36" s="284"/>
      <c r="K36" s="284"/>
      <c r="L36" s="284"/>
      <c r="M36" s="102"/>
      <c r="N36" s="103"/>
      <c r="O36" s="104"/>
    </row>
    <row r="37" spans="1:15" ht="15.75">
      <c r="A37" s="1517"/>
      <c r="B37" s="305" t="s">
        <v>1507</v>
      </c>
      <c r="C37" s="246">
        <f>$H$10</f>
        <v>2040.56</v>
      </c>
      <c r="D37" s="1137">
        <v>2.42</v>
      </c>
      <c r="E37" s="1137">
        <f>ROUND((C37*D37/100),0)</f>
        <v>49</v>
      </c>
      <c r="F37" s="1142">
        <v>154.5</v>
      </c>
      <c r="G37" s="1140">
        <f>ROUND(F37*E37,2)</f>
        <v>7570.5</v>
      </c>
      <c r="H37" s="267"/>
      <c r="I37" s="284"/>
      <c r="J37" s="284"/>
      <c r="K37" s="284"/>
      <c r="L37" s="284"/>
      <c r="M37" s="102"/>
      <c r="N37" s="103"/>
      <c r="O37" s="89"/>
    </row>
    <row r="38" spans="1:15" ht="33" customHeight="1">
      <c r="A38" s="1517"/>
      <c r="B38" s="305" t="s">
        <v>1508</v>
      </c>
      <c r="C38" s="246">
        <f>$H$10</f>
        <v>2040.56</v>
      </c>
      <c r="D38" s="1137">
        <v>0.26</v>
      </c>
      <c r="E38" s="1137">
        <f>ROUND((C38*D38/100),0)</f>
        <v>5</v>
      </c>
      <c r="F38" s="1138">
        <v>59.72</v>
      </c>
      <c r="G38" s="1140">
        <f>ROUND(F38*E38,2)</f>
        <v>298.60000000000002</v>
      </c>
      <c r="H38" s="267"/>
      <c r="I38" s="284"/>
      <c r="J38" s="284"/>
      <c r="K38" s="284"/>
      <c r="L38" s="284"/>
      <c r="M38" s="102"/>
      <c r="N38" s="103"/>
      <c r="O38" s="89"/>
    </row>
    <row r="39" spans="1:15" ht="28.5" customHeight="1">
      <c r="A39" s="1517"/>
      <c r="B39" s="305" t="s">
        <v>1509</v>
      </c>
      <c r="C39" s="246">
        <f>$H$10</f>
        <v>2040.56</v>
      </c>
      <c r="D39" s="1137">
        <v>7.0000000000000007E-2</v>
      </c>
      <c r="E39" s="1137">
        <f>ROUND((C39*D39/100),0)</f>
        <v>1</v>
      </c>
      <c r="F39" s="1138">
        <v>42.64</v>
      </c>
      <c r="G39" s="1140">
        <f>ROUND(F39*E39,2)</f>
        <v>42.64</v>
      </c>
      <c r="H39" s="267"/>
      <c r="I39" s="284"/>
      <c r="J39" s="284"/>
      <c r="K39" s="284"/>
      <c r="L39" s="284"/>
      <c r="M39" s="102"/>
      <c r="N39" s="103"/>
      <c r="O39" s="89"/>
    </row>
    <row r="40" spans="1:15" ht="30" customHeight="1">
      <c r="A40" s="1518"/>
      <c r="B40" s="305" t="s">
        <v>1510</v>
      </c>
      <c r="C40" s="246">
        <f>$H$10</f>
        <v>2040.56</v>
      </c>
      <c r="D40" s="1137">
        <v>0.26</v>
      </c>
      <c r="E40" s="1137">
        <f>ROUND((C40*D40/100),0)</f>
        <v>5</v>
      </c>
      <c r="F40" s="1138">
        <v>42.79</v>
      </c>
      <c r="G40" s="1140">
        <f>ROUND(F40*E40,2)</f>
        <v>213.95</v>
      </c>
      <c r="H40" s="267"/>
      <c r="I40" s="284"/>
      <c r="J40" s="284"/>
      <c r="K40" s="284"/>
      <c r="L40" s="284"/>
      <c r="M40" s="102"/>
      <c r="N40" s="103"/>
      <c r="O40" s="89"/>
    </row>
    <row r="41" spans="1:15" s="74" customFormat="1" ht="15.75">
      <c r="A41" s="1516">
        <v>4</v>
      </c>
      <c r="B41" s="160" t="s">
        <v>483</v>
      </c>
      <c r="C41" s="228"/>
      <c r="D41" s="228"/>
      <c r="E41" s="285"/>
      <c r="F41" s="285"/>
      <c r="G41" s="1139">
        <f>G42+G43+G44+G45</f>
        <v>24213.22</v>
      </c>
      <c r="H41" s="283"/>
      <c r="I41" s="284"/>
      <c r="J41" s="284"/>
      <c r="K41" s="284"/>
      <c r="L41" s="284"/>
      <c r="M41" s="102"/>
      <c r="N41" s="103"/>
      <c r="O41" s="104"/>
    </row>
    <row r="42" spans="1:15" ht="15.75">
      <c r="A42" s="1517"/>
      <c r="B42" s="305" t="s">
        <v>1507</v>
      </c>
      <c r="C42" s="246">
        <f>$J$11</f>
        <v>6000.09</v>
      </c>
      <c r="D42" s="1137">
        <v>2.42</v>
      </c>
      <c r="E42" s="1137">
        <f>ROUND((C42*D42/100),0)</f>
        <v>145</v>
      </c>
      <c r="F42" s="1142">
        <v>154.5</v>
      </c>
      <c r="G42" s="1140">
        <f>ROUND(F42*E42,2)</f>
        <v>22402.5</v>
      </c>
      <c r="H42" s="267"/>
      <c r="I42" s="284"/>
      <c r="J42" s="284"/>
      <c r="K42" s="284"/>
      <c r="L42" s="284"/>
      <c r="M42" s="102"/>
      <c r="N42" s="103"/>
      <c r="O42" s="89"/>
    </row>
    <row r="43" spans="1:15" ht="33" customHeight="1">
      <c r="A43" s="1517"/>
      <c r="B43" s="305" t="s">
        <v>1508</v>
      </c>
      <c r="C43" s="246">
        <f>$J$11</f>
        <v>6000.09</v>
      </c>
      <c r="D43" s="1137">
        <v>0.26</v>
      </c>
      <c r="E43" s="1137">
        <f>ROUND((C43*D43/100),0)</f>
        <v>16</v>
      </c>
      <c r="F43" s="1138">
        <v>59.72</v>
      </c>
      <c r="G43" s="1140">
        <f>ROUND(F43*E43,2)</f>
        <v>955.52</v>
      </c>
      <c r="H43" s="267"/>
      <c r="I43" s="284"/>
      <c r="J43" s="284"/>
      <c r="K43" s="284"/>
      <c r="L43" s="284"/>
      <c r="M43" s="102"/>
      <c r="N43" s="103"/>
      <c r="O43" s="89"/>
    </row>
    <row r="44" spans="1:15" ht="28.5" customHeight="1">
      <c r="A44" s="1517"/>
      <c r="B44" s="305" t="s">
        <v>1509</v>
      </c>
      <c r="C44" s="246">
        <f>$J$11</f>
        <v>6000.09</v>
      </c>
      <c r="D44" s="1137">
        <v>7.0000000000000007E-2</v>
      </c>
      <c r="E44" s="1137">
        <f>ROUND((C44*D44/100),0)</f>
        <v>4</v>
      </c>
      <c r="F44" s="1138">
        <v>42.64</v>
      </c>
      <c r="G44" s="1140">
        <f>ROUND(F44*E44,2)</f>
        <v>170.56</v>
      </c>
      <c r="H44" s="267"/>
      <c r="I44" s="284"/>
      <c r="J44" s="284"/>
      <c r="K44" s="284"/>
      <c r="L44" s="284"/>
      <c r="M44" s="102"/>
      <c r="N44" s="103"/>
      <c r="O44" s="89"/>
    </row>
    <row r="45" spans="1:15" ht="30" customHeight="1">
      <c r="A45" s="1518"/>
      <c r="B45" s="305" t="s">
        <v>1510</v>
      </c>
      <c r="C45" s="246">
        <f>$J$11</f>
        <v>6000.09</v>
      </c>
      <c r="D45" s="1137">
        <v>0.26</v>
      </c>
      <c r="E45" s="1137">
        <f>ROUND((C45*D45/100),0)</f>
        <v>16</v>
      </c>
      <c r="F45" s="1138">
        <v>42.79</v>
      </c>
      <c r="G45" s="1140">
        <f>ROUND(F45*E45,2)</f>
        <v>684.64</v>
      </c>
      <c r="H45" s="267"/>
      <c r="I45" s="284"/>
      <c r="J45" s="284"/>
      <c r="K45" s="284"/>
      <c r="L45" s="284"/>
      <c r="M45" s="102"/>
      <c r="N45" s="103"/>
      <c r="O45" s="89"/>
    </row>
    <row r="46" spans="1:15" ht="15.75" customHeight="1">
      <c r="A46" s="1887" t="s">
        <v>183</v>
      </c>
      <c r="B46" s="1888"/>
      <c r="C46" s="1888"/>
      <c r="D46" s="1888"/>
      <c r="E46" s="1888"/>
      <c r="F46" s="1889"/>
      <c r="G46" s="1141">
        <f>G26+G31+G36+G41</f>
        <v>85648.01</v>
      </c>
      <c r="H46" s="287"/>
      <c r="I46" s="287"/>
      <c r="J46" s="287"/>
      <c r="K46" s="275"/>
      <c r="L46" s="275"/>
    </row>
    <row r="47" spans="1:15" ht="15.75">
      <c r="A47" s="267"/>
      <c r="B47" s="288"/>
      <c r="C47" s="288"/>
      <c r="D47" s="267"/>
      <c r="E47" s="267"/>
      <c r="F47" s="267"/>
      <c r="G47" s="275"/>
      <c r="H47" s="286"/>
      <c r="I47" s="275"/>
      <c r="J47" s="275"/>
      <c r="K47" s="275"/>
      <c r="L47" s="275"/>
    </row>
    <row r="48" spans="1:15" s="207" customFormat="1" ht="15.75">
      <c r="B48" s="234"/>
      <c r="C48" s="311"/>
      <c r="D48" s="311"/>
      <c r="E48" s="311"/>
      <c r="F48" s="311"/>
      <c r="G48" s="511"/>
      <c r="H48" s="311"/>
    </row>
    <row r="49" spans="1:12" ht="15.75">
      <c r="A49" s="267"/>
      <c r="B49" s="289"/>
      <c r="C49" s="289"/>
      <c r="D49" s="267"/>
      <c r="E49" s="267"/>
      <c r="F49" s="267"/>
      <c r="G49" s="267"/>
      <c r="H49" s="267"/>
      <c r="I49" s="267"/>
      <c r="J49" s="267"/>
      <c r="K49" s="275"/>
      <c r="L49" s="275"/>
    </row>
    <row r="50" spans="1:12" ht="15.75">
      <c r="A50" s="267"/>
      <c r="B50" s="1890"/>
      <c r="C50" s="1890"/>
      <c r="D50" s="1890"/>
      <c r="E50" s="1890"/>
      <c r="F50" s="1890"/>
      <c r="G50" s="414"/>
      <c r="H50" s="236"/>
      <c r="I50" s="290"/>
      <c r="J50" s="290"/>
      <c r="K50" s="275"/>
      <c r="L50" s="275"/>
    </row>
    <row r="51" spans="1:12" s="207" customFormat="1" ht="15.75">
      <c r="B51" s="234" t="s">
        <v>1077</v>
      </c>
      <c r="C51" s="311"/>
      <c r="D51" s="507"/>
      <c r="E51" s="311"/>
      <c r="F51" s="311"/>
      <c r="G51" s="1811" t="s">
        <v>1040</v>
      </c>
      <c r="H51" s="1811"/>
      <c r="I51" s="507"/>
    </row>
    <row r="52" spans="1:12" s="207" customFormat="1" ht="31.5" customHeight="1">
      <c r="B52" s="221"/>
      <c r="C52" s="217"/>
      <c r="D52" s="523" t="s">
        <v>1078</v>
      </c>
      <c r="E52" s="217"/>
      <c r="F52" s="510"/>
      <c r="G52" s="1886" t="s">
        <v>1079</v>
      </c>
      <c r="H52" s="1886"/>
      <c r="I52" s="510" t="s">
        <v>1079</v>
      </c>
    </row>
    <row r="53" spans="1:12" s="207" customFormat="1" ht="15.75">
      <c r="B53" s="514" t="s">
        <v>1076</v>
      </c>
      <c r="C53" s="311"/>
      <c r="D53" s="507"/>
      <c r="E53" s="311"/>
      <c r="F53" s="311"/>
      <c r="G53" s="1811" t="s">
        <v>1245</v>
      </c>
      <c r="H53" s="1811"/>
      <c r="I53" s="507"/>
    </row>
    <row r="54" spans="1:12" s="207" customFormat="1" ht="31.5" customHeight="1">
      <c r="B54" s="221"/>
      <c r="C54" s="217"/>
      <c r="D54" s="523" t="s">
        <v>1078</v>
      </c>
      <c r="E54" s="217"/>
      <c r="F54" s="510"/>
      <c r="G54" s="1886" t="s">
        <v>1079</v>
      </c>
      <c r="H54" s="1886"/>
      <c r="I54" s="510" t="s">
        <v>1079</v>
      </c>
    </row>
    <row r="55" spans="1:12" s="27" customFormat="1">
      <c r="D55" s="73"/>
    </row>
    <row r="56" spans="1:12" s="27" customFormat="1">
      <c r="D56" s="73"/>
    </row>
    <row r="57" spans="1:12" s="27" customFormat="1">
      <c r="D57" s="73"/>
    </row>
  </sheetData>
  <customSheetViews>
    <customSheetView guid="{CA0FB9E2-E541-4C74-BCFE-D75491869B36}" scale="76" showPageBreaks="1" fitToPage="1" printArea="1" view="pageBreakPreview">
      <selection activeCell="O24" sqref="O24"/>
      <pageMargins left="0.19685039370078741" right="0.19685039370078741" top="0.19685039370078741" bottom="0.19685039370078741" header="0.51181102362204722" footer="0.51181102362204722"/>
      <pageSetup paperSize="9" scale="54" orientation="landscape" r:id="rId1"/>
      <headerFooter alignWithMargins="0"/>
    </customSheetView>
    <customSheetView guid="{F10E3D8B-5892-420A-B023-68C6496D556B}" fitToPage="1">
      <selection activeCell="A2" sqref="A2:L2"/>
      <pageMargins left="0.19685039370078741" right="0.19685039370078741" top="0.19685039370078741" bottom="0.19685039370078741" header="0.51181102362204722" footer="0.51181102362204722"/>
      <pageSetup paperSize="9" scale="54" orientation="landscape" r:id="rId2"/>
      <headerFooter alignWithMargins="0"/>
    </customSheetView>
    <customSheetView guid="{FE7E58EF-FECC-4DF6-BB75-BA97138CB219}" fitToPage="1">
      <selection activeCell="A2" sqref="A2:L2"/>
      <pageMargins left="0.19685039370078741" right="0.19685039370078741" top="0.19685039370078741" bottom="0.19685039370078741" header="0.51181102362204722" footer="0.51181102362204722"/>
      <pageSetup paperSize="9" scale="78" orientation="landscape" r:id="rId3"/>
      <headerFooter alignWithMargins="0"/>
    </customSheetView>
    <customSheetView guid="{43136B00-66C6-4289-99D3-5EF20611F834}" showPageBreaks="1" fitToPage="1" topLeftCell="A16">
      <selection activeCell="J46" sqref="J46"/>
      <pageMargins left="0.19685039370078741" right="0.19685039370078741" top="0.19685039370078741" bottom="0.19685039370078741" header="0.51181102362204722" footer="0.51181102362204722"/>
      <pageSetup paperSize="9" scale="61" orientation="landscape" r:id="rId4"/>
      <headerFooter alignWithMargins="0"/>
    </customSheetView>
    <customSheetView guid="{22820B9F-10DE-4629-AF3D-4AF98A9BCEDB}" scale="76" showPageBreaks="1" fitToPage="1" printArea="1" view="pageBreakPreview" topLeftCell="A14">
      <selection activeCell="O24" sqref="O24"/>
      <pageMargins left="0.19685039370078741" right="0.19685039370078741" top="0.19685039370078741" bottom="0.19685039370078741" header="0.51181102362204722" footer="0.51181102362204722"/>
      <pageSetup paperSize="9" scale="54" orientation="landscape" r:id="rId5"/>
      <headerFooter alignWithMargins="0"/>
    </customSheetView>
  </customSheetViews>
  <mergeCells count="17">
    <mergeCell ref="A3:L3"/>
    <mergeCell ref="A4:L4"/>
    <mergeCell ref="B5:E5"/>
    <mergeCell ref="A26:A30"/>
    <mergeCell ref="B14:H14"/>
    <mergeCell ref="A21:I21"/>
    <mergeCell ref="B23:G23"/>
    <mergeCell ref="A12:K12"/>
    <mergeCell ref="G54:H54"/>
    <mergeCell ref="A46:F46"/>
    <mergeCell ref="A31:A35"/>
    <mergeCell ref="A36:A40"/>
    <mergeCell ref="A41:A45"/>
    <mergeCell ref="B50:F50"/>
    <mergeCell ref="G52:H52"/>
    <mergeCell ref="G51:H51"/>
    <mergeCell ref="G53:H53"/>
  </mergeCells>
  <phoneticPr fontId="116" type="noConversion"/>
  <pageMargins left="0.19685039370078741" right="0.19685039370078741" top="0.19685039370078741" bottom="0.19685039370078741" header="0.51181102362204722" footer="0.51181102362204722"/>
  <pageSetup paperSize="9" scale="48" orientation="landscape" r:id="rId6"/>
  <headerFooter alignWithMargins="0"/>
</worksheet>
</file>

<file path=xl/worksheets/sheet42.xml><?xml version="1.0" encoding="utf-8"?>
<worksheet xmlns="http://schemas.openxmlformats.org/spreadsheetml/2006/main" xmlns:r="http://schemas.openxmlformats.org/officeDocument/2006/relationships">
  <sheetPr codeName="Лист20">
    <tabColor rgb="FF00FF00"/>
  </sheetPr>
  <dimension ref="A1:M71"/>
  <sheetViews>
    <sheetView view="pageBreakPreview" topLeftCell="A37" zoomScaleNormal="100" zoomScaleSheetLayoutView="100" workbookViewId="0">
      <selection activeCell="J14" sqref="J14"/>
    </sheetView>
  </sheetViews>
  <sheetFormatPr defaultRowHeight="15"/>
  <cols>
    <col min="1" max="1" width="4.5703125" style="1319" customWidth="1"/>
    <col min="2" max="2" width="28.42578125" style="1319" customWidth="1"/>
    <col min="3" max="3" width="6.140625" style="1319" customWidth="1"/>
    <col min="4" max="4" width="11.85546875" style="1319" customWidth="1"/>
    <col min="5" max="5" width="9.42578125" style="1319" customWidth="1"/>
    <col min="6" max="6" width="8.42578125" style="1319" customWidth="1"/>
    <col min="7" max="7" width="6.85546875" style="1319" customWidth="1"/>
    <col min="8" max="8" width="10.140625" style="1319" customWidth="1"/>
    <col min="9" max="9" width="14" style="1319" customWidth="1"/>
    <col min="10" max="10" width="9.42578125" style="1319" customWidth="1"/>
    <col min="11" max="11" width="15.5703125" style="1319" customWidth="1"/>
    <col min="12" max="12" width="12.28515625" style="1318" customWidth="1"/>
    <col min="13" max="13" width="13.140625" style="1318" customWidth="1"/>
    <col min="14" max="16384" width="9.140625" style="1319"/>
  </cols>
  <sheetData>
    <row r="1" spans="1:13" ht="24.2" customHeight="1">
      <c r="A1" s="1287"/>
      <c r="B1" s="1287"/>
      <c r="C1" s="1287"/>
      <c r="D1" s="1287"/>
      <c r="E1" s="1287"/>
      <c r="F1" s="1287"/>
      <c r="G1" s="1287"/>
      <c r="H1" s="1287"/>
      <c r="I1" s="1287"/>
      <c r="J1" s="1287"/>
      <c r="K1" s="785" t="s">
        <v>964</v>
      </c>
    </row>
    <row r="2" spans="1:13" ht="15.75">
      <c r="A2" s="1287"/>
      <c r="B2" s="1287"/>
      <c r="C2" s="1287"/>
      <c r="D2" s="1287"/>
      <c r="E2" s="1287"/>
      <c r="F2" s="1287"/>
      <c r="G2" s="1287"/>
      <c r="H2" s="1287"/>
      <c r="I2" s="1287"/>
      <c r="J2" s="1287"/>
      <c r="K2" s="785"/>
    </row>
    <row r="3" spans="1:13" ht="15.75">
      <c r="A3" s="1910" t="s">
        <v>1722</v>
      </c>
      <c r="B3" s="1910"/>
      <c r="C3" s="1910"/>
      <c r="D3" s="1910"/>
      <c r="E3" s="1910"/>
      <c r="F3" s="1910"/>
      <c r="G3" s="1910"/>
      <c r="H3" s="1910"/>
      <c r="I3" s="1910"/>
      <c r="J3" s="1910"/>
      <c r="K3" s="1910"/>
    </row>
    <row r="4" spans="1:13" ht="15.75">
      <c r="A4" s="1288"/>
      <c r="B4" s="1288"/>
      <c r="C4" s="1288"/>
      <c r="D4" s="1288"/>
      <c r="E4" s="1910" t="s">
        <v>749</v>
      </c>
      <c r="F4" s="1910"/>
      <c r="G4" s="1910"/>
      <c r="H4" s="1910"/>
      <c r="I4" s="1288"/>
      <c r="J4" s="1288"/>
      <c r="K4" s="1288"/>
    </row>
    <row r="5" spans="1:13" ht="15.75">
      <c r="A5" s="1911"/>
      <c r="B5" s="1911"/>
      <c r="C5" s="1911"/>
      <c r="D5" s="1911"/>
      <c r="E5" s="1911"/>
      <c r="F5" s="1911"/>
      <c r="G5" s="1911"/>
      <c r="H5" s="1911"/>
      <c r="I5" s="1911"/>
      <c r="J5" s="1911"/>
      <c r="K5" s="1911"/>
    </row>
    <row r="6" spans="1:13" ht="34.700000000000003" customHeight="1">
      <c r="A6" s="1912" t="s">
        <v>1267</v>
      </c>
      <c r="B6" s="1912" t="s">
        <v>224</v>
      </c>
      <c r="C6" s="1912" t="s">
        <v>1305</v>
      </c>
      <c r="D6" s="1912" t="s">
        <v>225</v>
      </c>
      <c r="E6" s="1912" t="s">
        <v>1031</v>
      </c>
      <c r="F6" s="1912" t="s">
        <v>226</v>
      </c>
      <c r="G6" s="1894" t="s">
        <v>227</v>
      </c>
      <c r="H6" s="1895"/>
      <c r="I6" s="1896" t="s">
        <v>1904</v>
      </c>
      <c r="J6" s="1897"/>
      <c r="K6" s="1897"/>
    </row>
    <row r="7" spans="1:13" ht="62.25" customHeight="1">
      <c r="A7" s="1913"/>
      <c r="B7" s="1913"/>
      <c r="C7" s="1913"/>
      <c r="D7" s="1913"/>
      <c r="E7" s="1913"/>
      <c r="F7" s="1913"/>
      <c r="G7" s="1289" t="s">
        <v>66</v>
      </c>
      <c r="H7" s="1290" t="s">
        <v>1905</v>
      </c>
      <c r="I7" s="1291" t="s">
        <v>1032</v>
      </c>
      <c r="J7" s="1291" t="s">
        <v>228</v>
      </c>
      <c r="K7" s="1291" t="s">
        <v>1033</v>
      </c>
    </row>
    <row r="8" spans="1:13" ht="15.75">
      <c r="A8" s="1292">
        <v>1</v>
      </c>
      <c r="B8" s="1293">
        <v>2</v>
      </c>
      <c r="C8" s="1293">
        <v>3</v>
      </c>
      <c r="D8" s="1293">
        <v>4</v>
      </c>
      <c r="E8" s="1293">
        <v>5</v>
      </c>
      <c r="F8" s="1294">
        <v>6</v>
      </c>
      <c r="G8" s="1289">
        <v>7</v>
      </c>
      <c r="H8" s="1290">
        <v>8</v>
      </c>
      <c r="I8" s="1291">
        <v>9</v>
      </c>
      <c r="J8" s="1291">
        <v>10</v>
      </c>
      <c r="K8" s="1291">
        <v>11</v>
      </c>
    </row>
    <row r="9" spans="1:13" ht="18.75">
      <c r="A9" s="1258"/>
      <c r="B9" s="1909" t="s">
        <v>1101</v>
      </c>
      <c r="C9" s="1909"/>
      <c r="D9" s="1909"/>
      <c r="E9" s="1909"/>
      <c r="F9" s="1909"/>
      <c r="G9" s="1909"/>
      <c r="H9" s="1909"/>
      <c r="I9" s="1909"/>
      <c r="J9" s="1909"/>
      <c r="K9" s="1258"/>
    </row>
    <row r="10" spans="1:13" ht="15.75">
      <c r="A10" s="1257">
        <v>1</v>
      </c>
      <c r="B10" s="607" t="s">
        <v>1102</v>
      </c>
      <c r="C10" s="268" t="s">
        <v>1135</v>
      </c>
      <c r="D10" s="689">
        <v>1</v>
      </c>
      <c r="E10" s="689">
        <v>2</v>
      </c>
      <c r="F10" s="1295">
        <v>25</v>
      </c>
      <c r="G10" s="1261">
        <f>D10*F10</f>
        <v>25</v>
      </c>
      <c r="H10" s="1296">
        <v>13</v>
      </c>
      <c r="I10" s="1261">
        <f t="shared" ref="I10:I25" si="0">D10*F10-G10+H10</f>
        <v>13</v>
      </c>
      <c r="J10" s="1259">
        <v>2879.77</v>
      </c>
      <c r="K10" s="1259">
        <f>I10*J10</f>
        <v>37437.01</v>
      </c>
      <c r="M10" s="1297"/>
    </row>
    <row r="11" spans="1:13" ht="31.5">
      <c r="A11" s="1257">
        <f>A10+1</f>
        <v>2</v>
      </c>
      <c r="B11" s="607" t="s">
        <v>1103</v>
      </c>
      <c r="C11" s="268" t="s">
        <v>1135</v>
      </c>
      <c r="D11" s="689">
        <v>1</v>
      </c>
      <c r="E11" s="689">
        <v>2</v>
      </c>
      <c r="F11" s="1295">
        <v>25</v>
      </c>
      <c r="G11" s="1261">
        <f t="shared" ref="G11:G25" si="1">D11*F11</f>
        <v>25</v>
      </c>
      <c r="H11" s="1296">
        <v>13</v>
      </c>
      <c r="I11" s="1261">
        <f t="shared" si="0"/>
        <v>13</v>
      </c>
      <c r="J11" s="1259">
        <v>2384.6999999999998</v>
      </c>
      <c r="K11" s="1259">
        <f t="shared" ref="K11:K25" si="2">I11*J11</f>
        <v>31001.1</v>
      </c>
      <c r="M11" s="1297"/>
    </row>
    <row r="12" spans="1:13" ht="15.75">
      <c r="A12" s="1257">
        <f t="shared" ref="A12:A25" si="3">A11+1</f>
        <v>3</v>
      </c>
      <c r="B12" s="607" t="s">
        <v>1104</v>
      </c>
      <c r="C12" s="268" t="s">
        <v>1135</v>
      </c>
      <c r="D12" s="689">
        <v>1</v>
      </c>
      <c r="E12" s="689">
        <v>3</v>
      </c>
      <c r="F12" s="1295">
        <v>25</v>
      </c>
      <c r="G12" s="1261">
        <f t="shared" si="1"/>
        <v>25</v>
      </c>
      <c r="H12" s="1261">
        <v>0</v>
      </c>
      <c r="I12" s="1261">
        <f t="shared" si="0"/>
        <v>0</v>
      </c>
      <c r="J12" s="1259">
        <v>203.64</v>
      </c>
      <c r="K12" s="1259">
        <f t="shared" si="2"/>
        <v>0</v>
      </c>
      <c r="M12" s="1297"/>
    </row>
    <row r="13" spans="1:13" ht="15.75">
      <c r="A13" s="1257">
        <f t="shared" si="3"/>
        <v>4</v>
      </c>
      <c r="B13" s="607" t="s">
        <v>1105</v>
      </c>
      <c r="C13" s="268" t="s">
        <v>1106</v>
      </c>
      <c r="D13" s="689">
        <v>2</v>
      </c>
      <c r="E13" s="689">
        <v>1</v>
      </c>
      <c r="F13" s="1295">
        <v>25</v>
      </c>
      <c r="G13" s="1261">
        <f t="shared" si="1"/>
        <v>50</v>
      </c>
      <c r="H13" s="1261">
        <v>25</v>
      </c>
      <c r="I13" s="1261">
        <f t="shared" si="0"/>
        <v>25</v>
      </c>
      <c r="J13" s="1259">
        <v>150.69999999999999</v>
      </c>
      <c r="K13" s="1259">
        <f t="shared" si="2"/>
        <v>3767.4999999999995</v>
      </c>
      <c r="M13" s="1297"/>
    </row>
    <row r="14" spans="1:13" ht="15.75">
      <c r="A14" s="1257">
        <f t="shared" si="3"/>
        <v>5</v>
      </c>
      <c r="B14" s="607" t="s">
        <v>1107</v>
      </c>
      <c r="C14" s="268" t="s">
        <v>1135</v>
      </c>
      <c r="D14" s="689">
        <v>1</v>
      </c>
      <c r="E14" s="689">
        <v>2</v>
      </c>
      <c r="F14" s="1295">
        <v>25</v>
      </c>
      <c r="G14" s="1261">
        <f t="shared" si="1"/>
        <v>25</v>
      </c>
      <c r="H14" s="1261">
        <v>13</v>
      </c>
      <c r="I14" s="1261">
        <f t="shared" si="0"/>
        <v>13</v>
      </c>
      <c r="J14" s="1259">
        <v>1040.71</v>
      </c>
      <c r="K14" s="1259">
        <f t="shared" si="2"/>
        <v>13529.23</v>
      </c>
      <c r="M14" s="1297"/>
    </row>
    <row r="15" spans="1:13" ht="31.5">
      <c r="A15" s="1257">
        <f t="shared" si="3"/>
        <v>6</v>
      </c>
      <c r="B15" s="607" t="s">
        <v>1108</v>
      </c>
      <c r="C15" s="268" t="s">
        <v>1109</v>
      </c>
      <c r="D15" s="689">
        <v>2</v>
      </c>
      <c r="E15" s="689">
        <v>2</v>
      </c>
      <c r="F15" s="1295">
        <v>25</v>
      </c>
      <c r="G15" s="1261">
        <f t="shared" si="1"/>
        <v>50</v>
      </c>
      <c r="H15" s="1261">
        <v>25</v>
      </c>
      <c r="I15" s="1261">
        <f t="shared" si="0"/>
        <v>25</v>
      </c>
      <c r="J15" s="1259">
        <v>1004.97</v>
      </c>
      <c r="K15" s="1259">
        <f t="shared" si="2"/>
        <v>25124.25</v>
      </c>
      <c r="M15" s="1297"/>
    </row>
    <row r="16" spans="1:13" ht="31.5">
      <c r="A16" s="1257">
        <f t="shared" si="3"/>
        <v>7</v>
      </c>
      <c r="B16" s="607" t="s">
        <v>1110</v>
      </c>
      <c r="C16" s="268" t="s">
        <v>1135</v>
      </c>
      <c r="D16" s="689">
        <v>2</v>
      </c>
      <c r="E16" s="689">
        <v>1</v>
      </c>
      <c r="F16" s="1295">
        <v>25</v>
      </c>
      <c r="G16" s="1261">
        <f t="shared" si="1"/>
        <v>50</v>
      </c>
      <c r="H16" s="1261">
        <v>25</v>
      </c>
      <c r="I16" s="1261">
        <f t="shared" si="0"/>
        <v>25</v>
      </c>
      <c r="J16" s="1259">
        <v>1435.22</v>
      </c>
      <c r="K16" s="1259">
        <f t="shared" si="2"/>
        <v>35880.5</v>
      </c>
      <c r="M16" s="1297"/>
    </row>
    <row r="17" spans="1:13" ht="31.5">
      <c r="A17" s="1257">
        <f t="shared" si="3"/>
        <v>8</v>
      </c>
      <c r="B17" s="607" t="s">
        <v>1111</v>
      </c>
      <c r="C17" s="268" t="s">
        <v>1109</v>
      </c>
      <c r="D17" s="689">
        <v>2</v>
      </c>
      <c r="E17" s="689">
        <v>2</v>
      </c>
      <c r="F17" s="1295">
        <v>25</v>
      </c>
      <c r="G17" s="1261">
        <f t="shared" si="1"/>
        <v>50</v>
      </c>
      <c r="H17" s="1261">
        <v>25</v>
      </c>
      <c r="I17" s="1261">
        <f t="shared" si="0"/>
        <v>25</v>
      </c>
      <c r="J17" s="1259">
        <v>1148.6500000000001</v>
      </c>
      <c r="K17" s="1259">
        <f t="shared" si="2"/>
        <v>28716.250000000004</v>
      </c>
      <c r="M17" s="1297"/>
    </row>
    <row r="18" spans="1:13" ht="15.75">
      <c r="A18" s="1257">
        <f t="shared" si="3"/>
        <v>9</v>
      </c>
      <c r="B18" s="607" t="s">
        <v>1112</v>
      </c>
      <c r="C18" s="268" t="s">
        <v>1135</v>
      </c>
      <c r="D18" s="689">
        <v>4</v>
      </c>
      <c r="E18" s="689">
        <v>1</v>
      </c>
      <c r="F18" s="1295">
        <v>25</v>
      </c>
      <c r="G18" s="1261">
        <f t="shared" si="1"/>
        <v>100</v>
      </c>
      <c r="H18" s="1261">
        <v>50</v>
      </c>
      <c r="I18" s="1261">
        <f t="shared" si="0"/>
        <v>50</v>
      </c>
      <c r="J18" s="1259">
        <v>432.59</v>
      </c>
      <c r="K18" s="1259">
        <f t="shared" si="2"/>
        <v>21629.5</v>
      </c>
      <c r="M18" s="1297"/>
    </row>
    <row r="19" spans="1:13" ht="15.75">
      <c r="A19" s="1257">
        <f t="shared" si="3"/>
        <v>10</v>
      </c>
      <c r="B19" s="607" t="s">
        <v>1113</v>
      </c>
      <c r="C19" s="268" t="s">
        <v>1135</v>
      </c>
      <c r="D19" s="689">
        <v>2</v>
      </c>
      <c r="E19" s="689">
        <v>1</v>
      </c>
      <c r="F19" s="1295">
        <v>25</v>
      </c>
      <c r="G19" s="1261">
        <f t="shared" si="1"/>
        <v>50</v>
      </c>
      <c r="H19" s="1261">
        <v>25</v>
      </c>
      <c r="I19" s="1261">
        <f t="shared" si="0"/>
        <v>25</v>
      </c>
      <c r="J19" s="1259">
        <v>207.62</v>
      </c>
      <c r="K19" s="1259">
        <f t="shared" si="2"/>
        <v>5190.5</v>
      </c>
      <c r="M19" s="1297"/>
    </row>
    <row r="20" spans="1:13" ht="31.5">
      <c r="A20" s="1257">
        <f t="shared" si="3"/>
        <v>11</v>
      </c>
      <c r="B20" s="607" t="s">
        <v>1114</v>
      </c>
      <c r="C20" s="268" t="s">
        <v>1135</v>
      </c>
      <c r="D20" s="689">
        <v>4</v>
      </c>
      <c r="E20" s="689">
        <v>1</v>
      </c>
      <c r="F20" s="1295">
        <v>25</v>
      </c>
      <c r="G20" s="1261">
        <f t="shared" si="1"/>
        <v>100</v>
      </c>
      <c r="H20" s="1261">
        <v>50</v>
      </c>
      <c r="I20" s="1261">
        <f t="shared" si="0"/>
        <v>50</v>
      </c>
      <c r="J20" s="1259">
        <v>248.48</v>
      </c>
      <c r="K20" s="1259">
        <f t="shared" si="2"/>
        <v>12424</v>
      </c>
      <c r="M20" s="1297"/>
    </row>
    <row r="21" spans="1:13" ht="15.75">
      <c r="A21" s="1257">
        <f t="shared" si="3"/>
        <v>12</v>
      </c>
      <c r="B21" s="607" t="s">
        <v>1115</v>
      </c>
      <c r="C21" s="268" t="s">
        <v>1135</v>
      </c>
      <c r="D21" s="689">
        <v>1</v>
      </c>
      <c r="E21" s="689">
        <v>2</v>
      </c>
      <c r="F21" s="1295">
        <v>25</v>
      </c>
      <c r="G21" s="1261">
        <f t="shared" si="1"/>
        <v>25</v>
      </c>
      <c r="H21" s="1261">
        <v>13</v>
      </c>
      <c r="I21" s="1261">
        <f t="shared" si="0"/>
        <v>13</v>
      </c>
      <c r="J21" s="1259">
        <v>1994.48</v>
      </c>
      <c r="K21" s="1259">
        <f t="shared" si="2"/>
        <v>25928.240000000002</v>
      </c>
      <c r="M21" s="1297"/>
    </row>
    <row r="22" spans="1:13" ht="31.5">
      <c r="A22" s="1257">
        <f t="shared" si="3"/>
        <v>13</v>
      </c>
      <c r="B22" s="607" t="s">
        <v>1116</v>
      </c>
      <c r="C22" s="268" t="s">
        <v>1135</v>
      </c>
      <c r="D22" s="689">
        <v>1</v>
      </c>
      <c r="E22" s="689">
        <v>2</v>
      </c>
      <c r="F22" s="1295">
        <v>25</v>
      </c>
      <c r="G22" s="1261">
        <f t="shared" si="1"/>
        <v>25</v>
      </c>
      <c r="H22" s="1261">
        <v>13</v>
      </c>
      <c r="I22" s="1261">
        <f t="shared" si="0"/>
        <v>13</v>
      </c>
      <c r="J22" s="1259">
        <v>626.98</v>
      </c>
      <c r="K22" s="1259">
        <f t="shared" si="2"/>
        <v>8150.74</v>
      </c>
      <c r="M22" s="1297"/>
    </row>
    <row r="23" spans="1:13" ht="15.75">
      <c r="A23" s="1257">
        <f t="shared" si="3"/>
        <v>14</v>
      </c>
      <c r="B23" s="607" t="s">
        <v>1117</v>
      </c>
      <c r="C23" s="268" t="s">
        <v>1106</v>
      </c>
      <c r="D23" s="689">
        <v>1</v>
      </c>
      <c r="E23" s="689">
        <v>1</v>
      </c>
      <c r="F23" s="1295">
        <v>25</v>
      </c>
      <c r="G23" s="1261">
        <f t="shared" si="1"/>
        <v>25</v>
      </c>
      <c r="H23" s="1261">
        <v>13</v>
      </c>
      <c r="I23" s="1261">
        <f t="shared" si="0"/>
        <v>13</v>
      </c>
      <c r="J23" s="1259">
        <v>1928.29</v>
      </c>
      <c r="K23" s="1259">
        <f t="shared" si="2"/>
        <v>25067.77</v>
      </c>
      <c r="M23" s="1297"/>
    </row>
    <row r="24" spans="1:13" ht="15.75">
      <c r="A24" s="1257">
        <f t="shared" si="3"/>
        <v>15</v>
      </c>
      <c r="B24" s="607" t="s">
        <v>1118</v>
      </c>
      <c r="C24" s="268" t="s">
        <v>1106</v>
      </c>
      <c r="D24" s="689">
        <v>1</v>
      </c>
      <c r="E24" s="689">
        <v>2</v>
      </c>
      <c r="F24" s="1295">
        <v>25</v>
      </c>
      <c r="G24" s="1261">
        <f t="shared" si="1"/>
        <v>25</v>
      </c>
      <c r="H24" s="1261">
        <v>13</v>
      </c>
      <c r="I24" s="1261">
        <f t="shared" si="0"/>
        <v>13</v>
      </c>
      <c r="J24" s="1259">
        <v>1167.02</v>
      </c>
      <c r="K24" s="1259">
        <f t="shared" si="2"/>
        <v>15171.26</v>
      </c>
      <c r="M24" s="1297"/>
    </row>
    <row r="25" spans="1:13" ht="15.75">
      <c r="A25" s="1257">
        <f t="shared" si="3"/>
        <v>16</v>
      </c>
      <c r="B25" s="607" t="s">
        <v>1119</v>
      </c>
      <c r="C25" s="268" t="s">
        <v>1106</v>
      </c>
      <c r="D25" s="689">
        <v>1</v>
      </c>
      <c r="E25" s="689">
        <v>1</v>
      </c>
      <c r="F25" s="1295">
        <v>25</v>
      </c>
      <c r="G25" s="1261">
        <f t="shared" si="1"/>
        <v>25</v>
      </c>
      <c r="H25" s="1261">
        <v>13</v>
      </c>
      <c r="I25" s="1261">
        <f t="shared" si="0"/>
        <v>13</v>
      </c>
      <c r="J25" s="1259">
        <v>960.91</v>
      </c>
      <c r="K25" s="1259">
        <f t="shared" si="2"/>
        <v>12491.83</v>
      </c>
      <c r="M25" s="1297"/>
    </row>
    <row r="26" spans="1:13" ht="15.75">
      <c r="A26" s="1298"/>
      <c r="B26" s="1906" t="s">
        <v>183</v>
      </c>
      <c r="C26" s="1907"/>
      <c r="D26" s="1907"/>
      <c r="E26" s="1907"/>
      <c r="F26" s="1907"/>
      <c r="G26" s="1907"/>
      <c r="H26" s="1907"/>
      <c r="I26" s="1907"/>
      <c r="J26" s="1908"/>
      <c r="K26" s="1260">
        <f>SUM(K10:K25)</f>
        <v>301509.68</v>
      </c>
      <c r="M26" s="1297"/>
    </row>
    <row r="27" spans="1:13" ht="18.75">
      <c r="A27" s="1258"/>
      <c r="B27" s="1909" t="s">
        <v>1120</v>
      </c>
      <c r="C27" s="1909"/>
      <c r="D27" s="1909"/>
      <c r="E27" s="1909"/>
      <c r="F27" s="1909"/>
      <c r="G27" s="1909"/>
      <c r="H27" s="1909"/>
      <c r="I27" s="1909"/>
      <c r="J27" s="1909"/>
      <c r="K27" s="1258"/>
      <c r="M27" s="1297"/>
    </row>
    <row r="28" spans="1:13" ht="15.75">
      <c r="A28" s="1298">
        <v>1</v>
      </c>
      <c r="B28" s="607" t="s">
        <v>1102</v>
      </c>
      <c r="C28" s="268" t="s">
        <v>1135</v>
      </c>
      <c r="D28" s="689">
        <v>1</v>
      </c>
      <c r="E28" s="689">
        <v>2</v>
      </c>
      <c r="F28" s="1295">
        <v>12</v>
      </c>
      <c r="G28" s="1261">
        <f t="shared" ref="G28:G44" si="4">D28*F28</f>
        <v>12</v>
      </c>
      <c r="H28" s="1261">
        <v>18</v>
      </c>
      <c r="I28" s="1261">
        <f t="shared" ref="I28:I44" si="5">D28*F28-G28+H28</f>
        <v>18</v>
      </c>
      <c r="J28" s="1259">
        <v>2879.77</v>
      </c>
      <c r="K28" s="1259">
        <f t="shared" ref="K28:K44" si="6">I28*J28</f>
        <v>51835.86</v>
      </c>
      <c r="M28" s="1297"/>
    </row>
    <row r="29" spans="1:13" ht="31.5">
      <c r="A29" s="1257">
        <f>A28+1</f>
        <v>2</v>
      </c>
      <c r="B29" s="607" t="s">
        <v>1103</v>
      </c>
      <c r="C29" s="268" t="s">
        <v>1135</v>
      </c>
      <c r="D29" s="689">
        <v>1</v>
      </c>
      <c r="E29" s="689">
        <v>2</v>
      </c>
      <c r="F29" s="1295">
        <v>12</v>
      </c>
      <c r="G29" s="1261">
        <f t="shared" si="4"/>
        <v>12</v>
      </c>
      <c r="H29" s="1261">
        <v>12</v>
      </c>
      <c r="I29" s="1261">
        <f t="shared" si="5"/>
        <v>12</v>
      </c>
      <c r="J29" s="1262">
        <v>2384.6999999999998</v>
      </c>
      <c r="K29" s="1259">
        <f t="shared" si="6"/>
        <v>28616.399999999998</v>
      </c>
      <c r="M29" s="1297"/>
    </row>
    <row r="30" spans="1:13" ht="15.75">
      <c r="A30" s="1257">
        <f t="shared" ref="A30:A44" si="7">A29+1</f>
        <v>3</v>
      </c>
      <c r="B30" s="607" t="s">
        <v>1104</v>
      </c>
      <c r="C30" s="268" t="s">
        <v>1135</v>
      </c>
      <c r="D30" s="689">
        <v>1</v>
      </c>
      <c r="E30" s="689">
        <v>3</v>
      </c>
      <c r="F30" s="1295">
        <v>12</v>
      </c>
      <c r="G30" s="1261">
        <f t="shared" si="4"/>
        <v>12</v>
      </c>
      <c r="H30" s="1261">
        <v>0</v>
      </c>
      <c r="I30" s="1261">
        <f t="shared" si="5"/>
        <v>0</v>
      </c>
      <c r="J30" s="1262">
        <v>203.64</v>
      </c>
      <c r="K30" s="1259">
        <f t="shared" si="6"/>
        <v>0</v>
      </c>
      <c r="M30" s="1297"/>
    </row>
    <row r="31" spans="1:13" ht="15.75">
      <c r="A31" s="1257">
        <f t="shared" si="7"/>
        <v>4</v>
      </c>
      <c r="B31" s="607" t="s">
        <v>1121</v>
      </c>
      <c r="C31" s="268" t="s">
        <v>1106</v>
      </c>
      <c r="D31" s="689">
        <v>2</v>
      </c>
      <c r="E31" s="689">
        <v>1</v>
      </c>
      <c r="F31" s="1295">
        <v>12</v>
      </c>
      <c r="G31" s="1261">
        <f t="shared" si="4"/>
        <v>24</v>
      </c>
      <c r="H31" s="1261">
        <v>12</v>
      </c>
      <c r="I31" s="1261">
        <f t="shared" si="5"/>
        <v>12</v>
      </c>
      <c r="J31" s="1262">
        <v>181.31</v>
      </c>
      <c r="K31" s="1259">
        <f t="shared" si="6"/>
        <v>2175.7200000000003</v>
      </c>
      <c r="M31" s="1297"/>
    </row>
    <row r="32" spans="1:13" ht="15.75">
      <c r="A32" s="1257">
        <f t="shared" si="7"/>
        <v>5</v>
      </c>
      <c r="B32" s="607" t="s">
        <v>1107</v>
      </c>
      <c r="C32" s="268" t="s">
        <v>1135</v>
      </c>
      <c r="D32" s="689">
        <v>1</v>
      </c>
      <c r="E32" s="689">
        <v>2</v>
      </c>
      <c r="F32" s="1295">
        <v>12</v>
      </c>
      <c r="G32" s="1261">
        <f t="shared" si="4"/>
        <v>12</v>
      </c>
      <c r="H32" s="1261">
        <v>12</v>
      </c>
      <c r="I32" s="1261">
        <f t="shared" si="5"/>
        <v>12</v>
      </c>
      <c r="J32" s="1263">
        <v>1040.71</v>
      </c>
      <c r="K32" s="1259">
        <f t="shared" si="6"/>
        <v>12488.52</v>
      </c>
      <c r="M32" s="1297"/>
    </row>
    <row r="33" spans="1:13" ht="31.5">
      <c r="A33" s="1257">
        <f t="shared" si="7"/>
        <v>6</v>
      </c>
      <c r="B33" s="607" t="s">
        <v>1108</v>
      </c>
      <c r="C33" s="268" t="s">
        <v>1109</v>
      </c>
      <c r="D33" s="689">
        <v>2</v>
      </c>
      <c r="E33" s="689">
        <v>2</v>
      </c>
      <c r="F33" s="1295">
        <v>12</v>
      </c>
      <c r="G33" s="1261">
        <f t="shared" si="4"/>
        <v>24</v>
      </c>
      <c r="H33" s="1261">
        <v>12</v>
      </c>
      <c r="I33" s="1261">
        <f t="shared" si="5"/>
        <v>12</v>
      </c>
      <c r="J33" s="1262">
        <v>1004.97</v>
      </c>
      <c r="K33" s="1259">
        <f t="shared" si="6"/>
        <v>12059.64</v>
      </c>
      <c r="M33" s="1297"/>
    </row>
    <row r="34" spans="1:13" ht="31.5">
      <c r="A34" s="1257">
        <f t="shared" si="7"/>
        <v>7</v>
      </c>
      <c r="B34" s="607" t="s">
        <v>1122</v>
      </c>
      <c r="C34" s="268" t="s">
        <v>1135</v>
      </c>
      <c r="D34" s="689">
        <v>2</v>
      </c>
      <c r="E34" s="689">
        <v>1</v>
      </c>
      <c r="F34" s="1295">
        <v>12</v>
      </c>
      <c r="G34" s="1261">
        <f t="shared" si="4"/>
        <v>24</v>
      </c>
      <c r="H34" s="1261">
        <v>12</v>
      </c>
      <c r="I34" s="1261">
        <f t="shared" si="5"/>
        <v>12</v>
      </c>
      <c r="J34" s="1262">
        <v>1161.4100000000001</v>
      </c>
      <c r="K34" s="1259">
        <f t="shared" si="6"/>
        <v>13936.920000000002</v>
      </c>
      <c r="M34" s="1297"/>
    </row>
    <row r="35" spans="1:13" ht="31.5">
      <c r="A35" s="1257">
        <f t="shared" si="7"/>
        <v>8</v>
      </c>
      <c r="B35" s="607" t="s">
        <v>1123</v>
      </c>
      <c r="C35" s="268" t="s">
        <v>1135</v>
      </c>
      <c r="D35" s="689">
        <v>2</v>
      </c>
      <c r="E35" s="689">
        <v>2</v>
      </c>
      <c r="F35" s="1295">
        <v>12</v>
      </c>
      <c r="G35" s="1261">
        <f t="shared" si="4"/>
        <v>24</v>
      </c>
      <c r="H35" s="1261">
        <v>24</v>
      </c>
      <c r="I35" s="1261">
        <f t="shared" si="5"/>
        <v>24</v>
      </c>
      <c r="J35" s="1262">
        <v>1148.6500000000001</v>
      </c>
      <c r="K35" s="1259">
        <f t="shared" si="6"/>
        <v>27567.600000000002</v>
      </c>
      <c r="M35" s="1297"/>
    </row>
    <row r="36" spans="1:13" ht="31.5">
      <c r="A36" s="1257">
        <f t="shared" si="7"/>
        <v>9</v>
      </c>
      <c r="B36" s="607" t="s">
        <v>1124</v>
      </c>
      <c r="C36" s="268" t="s">
        <v>1135</v>
      </c>
      <c r="D36" s="689">
        <v>2</v>
      </c>
      <c r="E36" s="689">
        <v>1</v>
      </c>
      <c r="F36" s="1295">
        <v>12</v>
      </c>
      <c r="G36" s="1261">
        <f t="shared" si="4"/>
        <v>24</v>
      </c>
      <c r="H36" s="1261">
        <v>24</v>
      </c>
      <c r="I36" s="1261">
        <f t="shared" si="5"/>
        <v>24</v>
      </c>
      <c r="J36" s="1262">
        <v>207.62</v>
      </c>
      <c r="K36" s="1259">
        <f t="shared" si="6"/>
        <v>4982.88</v>
      </c>
      <c r="M36" s="1297"/>
    </row>
    <row r="37" spans="1:13" ht="15.75">
      <c r="A37" s="1257">
        <f t="shared" si="7"/>
        <v>10</v>
      </c>
      <c r="B37" s="607" t="s">
        <v>1125</v>
      </c>
      <c r="C37" s="268" t="s">
        <v>1135</v>
      </c>
      <c r="D37" s="689">
        <v>2</v>
      </c>
      <c r="E37" s="689">
        <v>2</v>
      </c>
      <c r="F37" s="1295">
        <v>12</v>
      </c>
      <c r="G37" s="1261">
        <f t="shared" si="4"/>
        <v>24</v>
      </c>
      <c r="H37" s="1261">
        <v>24</v>
      </c>
      <c r="I37" s="1261">
        <f t="shared" si="5"/>
        <v>24</v>
      </c>
      <c r="J37" s="1262">
        <v>1840.74</v>
      </c>
      <c r="K37" s="1259">
        <f t="shared" si="6"/>
        <v>44177.760000000002</v>
      </c>
      <c r="M37" s="1297"/>
    </row>
    <row r="38" spans="1:13" ht="15.75">
      <c r="A38" s="1257">
        <f t="shared" si="7"/>
        <v>11</v>
      </c>
      <c r="B38" s="607" t="s">
        <v>1113</v>
      </c>
      <c r="C38" s="268" t="s">
        <v>1135</v>
      </c>
      <c r="D38" s="689">
        <v>2</v>
      </c>
      <c r="E38" s="689">
        <v>1</v>
      </c>
      <c r="F38" s="1295">
        <v>12</v>
      </c>
      <c r="G38" s="1261">
        <f t="shared" si="4"/>
        <v>24</v>
      </c>
      <c r="H38" s="1261">
        <v>24</v>
      </c>
      <c r="I38" s="1261">
        <f t="shared" si="5"/>
        <v>24</v>
      </c>
      <c r="J38" s="1262">
        <v>207.62</v>
      </c>
      <c r="K38" s="1259">
        <f t="shared" si="6"/>
        <v>4982.88</v>
      </c>
      <c r="M38" s="1297"/>
    </row>
    <row r="39" spans="1:13" ht="31.5">
      <c r="A39" s="1257">
        <f t="shared" si="7"/>
        <v>12</v>
      </c>
      <c r="B39" s="607" t="s">
        <v>1126</v>
      </c>
      <c r="C39" s="268" t="s">
        <v>1135</v>
      </c>
      <c r="D39" s="689">
        <v>2</v>
      </c>
      <c r="E39" s="689">
        <v>1</v>
      </c>
      <c r="F39" s="1295">
        <v>12</v>
      </c>
      <c r="G39" s="1261">
        <f t="shared" si="4"/>
        <v>24</v>
      </c>
      <c r="H39" s="1261">
        <v>24</v>
      </c>
      <c r="I39" s="1261">
        <f t="shared" si="5"/>
        <v>24</v>
      </c>
      <c r="J39" s="1262">
        <v>248.48</v>
      </c>
      <c r="K39" s="1259">
        <f t="shared" si="6"/>
        <v>5963.5199999999995</v>
      </c>
      <c r="M39" s="1297"/>
    </row>
    <row r="40" spans="1:13" ht="15.75">
      <c r="A40" s="1257">
        <f t="shared" si="7"/>
        <v>13</v>
      </c>
      <c r="B40" s="607" t="s">
        <v>1115</v>
      </c>
      <c r="C40" s="268" t="s">
        <v>1135</v>
      </c>
      <c r="D40" s="689">
        <v>1</v>
      </c>
      <c r="E40" s="689">
        <v>2</v>
      </c>
      <c r="F40" s="1295">
        <v>12</v>
      </c>
      <c r="G40" s="1261">
        <f t="shared" si="4"/>
        <v>12</v>
      </c>
      <c r="H40" s="1261">
        <v>12</v>
      </c>
      <c r="I40" s="1261">
        <f t="shared" si="5"/>
        <v>12</v>
      </c>
      <c r="J40" s="1262">
        <v>1523.51</v>
      </c>
      <c r="K40" s="1259">
        <f t="shared" si="6"/>
        <v>18282.12</v>
      </c>
      <c r="M40" s="1297"/>
    </row>
    <row r="41" spans="1:13" ht="31.5">
      <c r="A41" s="1257">
        <f t="shared" si="7"/>
        <v>14</v>
      </c>
      <c r="B41" s="607" t="s">
        <v>1127</v>
      </c>
      <c r="C41" s="268" t="s">
        <v>1135</v>
      </c>
      <c r="D41" s="689">
        <v>1</v>
      </c>
      <c r="E41" s="689">
        <v>2</v>
      </c>
      <c r="F41" s="1295">
        <v>12</v>
      </c>
      <c r="G41" s="1261">
        <f t="shared" si="4"/>
        <v>12</v>
      </c>
      <c r="H41" s="1261">
        <v>12</v>
      </c>
      <c r="I41" s="1261">
        <f t="shared" si="5"/>
        <v>12</v>
      </c>
      <c r="J41" s="1263">
        <v>724.57</v>
      </c>
      <c r="K41" s="1259">
        <f t="shared" si="6"/>
        <v>8694.84</v>
      </c>
      <c r="M41" s="1297"/>
    </row>
    <row r="42" spans="1:13" ht="15.75">
      <c r="A42" s="1257">
        <f t="shared" si="7"/>
        <v>15</v>
      </c>
      <c r="B42" s="607" t="s">
        <v>1117</v>
      </c>
      <c r="C42" s="268" t="s">
        <v>1106</v>
      </c>
      <c r="D42" s="689">
        <v>1</v>
      </c>
      <c r="E42" s="689">
        <v>1</v>
      </c>
      <c r="F42" s="1295">
        <v>12</v>
      </c>
      <c r="G42" s="1261">
        <f t="shared" si="4"/>
        <v>12</v>
      </c>
      <c r="H42" s="1261">
        <v>12</v>
      </c>
      <c r="I42" s="1261">
        <f t="shared" si="5"/>
        <v>12</v>
      </c>
      <c r="J42" s="1263">
        <v>1928.29</v>
      </c>
      <c r="K42" s="1259">
        <f t="shared" si="6"/>
        <v>23139.48</v>
      </c>
      <c r="M42" s="1297"/>
    </row>
    <row r="43" spans="1:13" ht="15.75">
      <c r="A43" s="1257">
        <f t="shared" si="7"/>
        <v>16</v>
      </c>
      <c r="B43" s="607" t="s">
        <v>1118</v>
      </c>
      <c r="C43" s="268" t="s">
        <v>1106</v>
      </c>
      <c r="D43" s="689">
        <v>1</v>
      </c>
      <c r="E43" s="689">
        <v>2</v>
      </c>
      <c r="F43" s="1295">
        <v>12</v>
      </c>
      <c r="G43" s="1261">
        <f t="shared" si="4"/>
        <v>12</v>
      </c>
      <c r="H43" s="1261">
        <v>12</v>
      </c>
      <c r="I43" s="1261">
        <f t="shared" si="5"/>
        <v>12</v>
      </c>
      <c r="J43" s="1263">
        <v>1167.02</v>
      </c>
      <c r="K43" s="1259">
        <f t="shared" si="6"/>
        <v>14004.24</v>
      </c>
      <c r="M43" s="1297"/>
    </row>
    <row r="44" spans="1:13" ht="15.75">
      <c r="A44" s="1257">
        <f t="shared" si="7"/>
        <v>17</v>
      </c>
      <c r="B44" s="607" t="s">
        <v>1119</v>
      </c>
      <c r="C44" s="268" t="s">
        <v>1106</v>
      </c>
      <c r="D44" s="689">
        <v>1</v>
      </c>
      <c r="E44" s="689">
        <v>1</v>
      </c>
      <c r="F44" s="1295">
        <v>12</v>
      </c>
      <c r="G44" s="1261">
        <f t="shared" si="4"/>
        <v>12</v>
      </c>
      <c r="H44" s="1261">
        <v>12</v>
      </c>
      <c r="I44" s="1261">
        <f t="shared" si="5"/>
        <v>12</v>
      </c>
      <c r="J44" s="1262">
        <v>960.91</v>
      </c>
      <c r="K44" s="1259">
        <f t="shared" si="6"/>
        <v>11530.92</v>
      </c>
      <c r="M44" s="1297"/>
    </row>
    <row r="45" spans="1:13" ht="15.75">
      <c r="A45" s="1257"/>
      <c r="B45" s="1264"/>
      <c r="C45" s="1265"/>
      <c r="D45" s="1266"/>
      <c r="E45" s="1266"/>
      <c r="F45" s="1267"/>
      <c r="G45" s="1267"/>
      <c r="H45" s="1267"/>
      <c r="I45" s="1267"/>
      <c r="J45" s="1268" t="s">
        <v>183</v>
      </c>
      <c r="K45" s="1260">
        <f>SUM(K27:K44)</f>
        <v>284439.3</v>
      </c>
      <c r="M45" s="1297"/>
    </row>
    <row r="46" spans="1:13" ht="15.75">
      <c r="A46" s="1257"/>
      <c r="B46" s="1903" t="s">
        <v>862</v>
      </c>
      <c r="C46" s="1904"/>
      <c r="D46" s="1904"/>
      <c r="E46" s="1904"/>
      <c r="F46" s="1904"/>
      <c r="G46" s="1904"/>
      <c r="H46" s="1904"/>
      <c r="I46" s="1904"/>
      <c r="J46" s="1905"/>
      <c r="K46" s="1260">
        <f>K26+K45</f>
        <v>585948.98</v>
      </c>
      <c r="M46" s="1297"/>
    </row>
    <row r="47" spans="1:13" ht="51" customHeight="1">
      <c r="A47" s="1258"/>
      <c r="B47" s="1898" t="s">
        <v>861</v>
      </c>
      <c r="C47" s="1899"/>
      <c r="D47" s="1899"/>
      <c r="E47" s="1899"/>
      <c r="F47" s="1899"/>
      <c r="G47" s="1899"/>
      <c r="H47" s="1899"/>
      <c r="I47" s="1899"/>
      <c r="J47" s="1900"/>
      <c r="K47" s="1258"/>
      <c r="M47" s="1297"/>
    </row>
    <row r="48" spans="1:13" ht="15.75">
      <c r="A48" s="1298">
        <v>1</v>
      </c>
      <c r="B48" s="607" t="s">
        <v>863</v>
      </c>
      <c r="C48" s="268" t="s">
        <v>864</v>
      </c>
      <c r="D48" s="689">
        <v>3</v>
      </c>
      <c r="E48" s="689">
        <v>2</v>
      </c>
      <c r="F48" s="1295">
        <v>37</v>
      </c>
      <c r="G48" s="1261">
        <f t="shared" ref="G48:G62" si="8">D48*F48</f>
        <v>111</v>
      </c>
      <c r="H48" s="1261">
        <v>0</v>
      </c>
      <c r="I48" s="1261">
        <f t="shared" ref="I48:I62" si="9">D48*F48-G48+H48</f>
        <v>0</v>
      </c>
      <c r="J48" s="1262">
        <v>0</v>
      </c>
      <c r="K48" s="1259">
        <f t="shared" ref="K48:K62" si="10">I48*J48</f>
        <v>0</v>
      </c>
      <c r="M48" s="1297"/>
    </row>
    <row r="49" spans="1:13" ht="15.75">
      <c r="A49" s="1257">
        <f>A48+1</f>
        <v>2</v>
      </c>
      <c r="B49" s="607" t="s">
        <v>865</v>
      </c>
      <c r="C49" s="268" t="s">
        <v>864</v>
      </c>
      <c r="D49" s="689">
        <v>3</v>
      </c>
      <c r="E49" s="689">
        <v>3</v>
      </c>
      <c r="F49" s="1295">
        <v>37</v>
      </c>
      <c r="G49" s="1261">
        <f t="shared" si="8"/>
        <v>111</v>
      </c>
      <c r="H49" s="1261">
        <v>0</v>
      </c>
      <c r="I49" s="1261">
        <f t="shared" si="9"/>
        <v>0</v>
      </c>
      <c r="J49" s="1262">
        <v>0</v>
      </c>
      <c r="K49" s="1259">
        <f t="shared" si="10"/>
        <v>0</v>
      </c>
      <c r="M49" s="1297"/>
    </row>
    <row r="50" spans="1:13" ht="31.5">
      <c r="A50" s="1257">
        <f t="shared" ref="A50:A62" si="11">A49+1</f>
        <v>3</v>
      </c>
      <c r="B50" s="607" t="s">
        <v>866</v>
      </c>
      <c r="C50" s="268" t="s">
        <v>864</v>
      </c>
      <c r="D50" s="689">
        <v>1</v>
      </c>
      <c r="E50" s="689">
        <v>5</v>
      </c>
      <c r="F50" s="1295">
        <v>37</v>
      </c>
      <c r="G50" s="1261">
        <f t="shared" si="8"/>
        <v>37</v>
      </c>
      <c r="H50" s="1261">
        <v>0</v>
      </c>
      <c r="I50" s="1261">
        <f t="shared" si="9"/>
        <v>0</v>
      </c>
      <c r="J50" s="1262">
        <v>0</v>
      </c>
      <c r="K50" s="1259">
        <f t="shared" si="10"/>
        <v>0</v>
      </c>
      <c r="M50" s="1297"/>
    </row>
    <row r="51" spans="1:13" ht="31.5">
      <c r="A51" s="1257">
        <f t="shared" si="11"/>
        <v>4</v>
      </c>
      <c r="B51" s="607" t="s">
        <v>867</v>
      </c>
      <c r="C51" s="268" t="s">
        <v>864</v>
      </c>
      <c r="D51" s="689">
        <v>3</v>
      </c>
      <c r="E51" s="689">
        <v>3</v>
      </c>
      <c r="F51" s="1295">
        <v>37</v>
      </c>
      <c r="G51" s="1261">
        <f t="shared" si="8"/>
        <v>111</v>
      </c>
      <c r="H51" s="1261">
        <v>0</v>
      </c>
      <c r="I51" s="1261">
        <f t="shared" si="9"/>
        <v>0</v>
      </c>
      <c r="J51" s="1262">
        <v>0</v>
      </c>
      <c r="K51" s="1259">
        <f t="shared" si="10"/>
        <v>0</v>
      </c>
      <c r="M51" s="1297"/>
    </row>
    <row r="52" spans="1:13" ht="15.75">
      <c r="A52" s="1257">
        <f t="shared" si="11"/>
        <v>5</v>
      </c>
      <c r="B52" s="607" t="s">
        <v>868</v>
      </c>
      <c r="C52" s="268" t="s">
        <v>864</v>
      </c>
      <c r="D52" s="689">
        <v>4</v>
      </c>
      <c r="E52" s="689">
        <v>2</v>
      </c>
      <c r="F52" s="1295">
        <v>37</v>
      </c>
      <c r="G52" s="1261">
        <f t="shared" si="8"/>
        <v>148</v>
      </c>
      <c r="H52" s="1261">
        <v>0</v>
      </c>
      <c r="I52" s="1261">
        <f t="shared" si="9"/>
        <v>0</v>
      </c>
      <c r="J52" s="1263">
        <v>0</v>
      </c>
      <c r="K52" s="1259">
        <f t="shared" si="10"/>
        <v>0</v>
      </c>
      <c r="M52" s="1297"/>
    </row>
    <row r="53" spans="1:13" ht="15.75">
      <c r="A53" s="1257">
        <f t="shared" si="11"/>
        <v>6</v>
      </c>
      <c r="B53" s="607" t="s">
        <v>869</v>
      </c>
      <c r="C53" s="268" t="s">
        <v>864</v>
      </c>
      <c r="D53" s="689">
        <v>3</v>
      </c>
      <c r="E53" s="689">
        <v>3</v>
      </c>
      <c r="F53" s="1295">
        <v>37</v>
      </c>
      <c r="G53" s="1261">
        <f t="shared" si="8"/>
        <v>111</v>
      </c>
      <c r="H53" s="1261">
        <v>65</v>
      </c>
      <c r="I53" s="1261">
        <f t="shared" si="9"/>
        <v>65</v>
      </c>
      <c r="J53" s="1262">
        <v>320</v>
      </c>
      <c r="K53" s="1259">
        <f t="shared" si="10"/>
        <v>20800</v>
      </c>
      <c r="M53" s="1297"/>
    </row>
    <row r="54" spans="1:13" ht="31.5">
      <c r="A54" s="1257">
        <f t="shared" si="11"/>
        <v>7</v>
      </c>
      <c r="B54" s="607" t="s">
        <v>870</v>
      </c>
      <c r="C54" s="268" t="s">
        <v>864</v>
      </c>
      <c r="D54" s="689">
        <v>2</v>
      </c>
      <c r="E54" s="689">
        <v>5</v>
      </c>
      <c r="F54" s="1295">
        <v>37</v>
      </c>
      <c r="G54" s="1261">
        <f t="shared" si="8"/>
        <v>74</v>
      </c>
      <c r="H54" s="1261">
        <v>20</v>
      </c>
      <c r="I54" s="1261">
        <f t="shared" si="9"/>
        <v>20</v>
      </c>
      <c r="J54" s="1262">
        <v>1130</v>
      </c>
      <c r="K54" s="1259">
        <f t="shared" si="10"/>
        <v>22600</v>
      </c>
      <c r="M54" s="1297"/>
    </row>
    <row r="55" spans="1:13" ht="15.75">
      <c r="A55" s="1257">
        <f t="shared" si="11"/>
        <v>8</v>
      </c>
      <c r="B55" s="607" t="s">
        <v>871</v>
      </c>
      <c r="C55" s="268" t="s">
        <v>864</v>
      </c>
      <c r="D55" s="689">
        <v>1</v>
      </c>
      <c r="E55" s="689">
        <v>5</v>
      </c>
      <c r="F55" s="1295">
        <v>37</v>
      </c>
      <c r="G55" s="1261">
        <f t="shared" si="8"/>
        <v>37</v>
      </c>
      <c r="H55" s="1261">
        <v>0</v>
      </c>
      <c r="I55" s="1261">
        <f t="shared" si="9"/>
        <v>0</v>
      </c>
      <c r="J55" s="1262">
        <v>0</v>
      </c>
      <c r="K55" s="1259">
        <f t="shared" si="10"/>
        <v>0</v>
      </c>
      <c r="M55" s="1297"/>
    </row>
    <row r="56" spans="1:13" ht="15.75">
      <c r="A56" s="1257">
        <f t="shared" si="11"/>
        <v>9</v>
      </c>
      <c r="B56" s="607" t="s">
        <v>872</v>
      </c>
      <c r="C56" s="268" t="s">
        <v>864</v>
      </c>
      <c r="D56" s="689">
        <v>1</v>
      </c>
      <c r="E56" s="689">
        <v>8</v>
      </c>
      <c r="F56" s="1295">
        <v>37</v>
      </c>
      <c r="G56" s="1261">
        <f t="shared" si="8"/>
        <v>37</v>
      </c>
      <c r="H56" s="1261">
        <v>35</v>
      </c>
      <c r="I56" s="1261">
        <f t="shared" si="9"/>
        <v>35</v>
      </c>
      <c r="J56" s="1262">
        <v>1900</v>
      </c>
      <c r="K56" s="1259">
        <f t="shared" si="10"/>
        <v>66500</v>
      </c>
      <c r="M56" s="1297"/>
    </row>
    <row r="57" spans="1:13" ht="15.75">
      <c r="A57" s="1257">
        <f t="shared" si="11"/>
        <v>10</v>
      </c>
      <c r="B57" s="607" t="s">
        <v>873</v>
      </c>
      <c r="C57" s="268" t="s">
        <v>864</v>
      </c>
      <c r="D57" s="689">
        <v>1</v>
      </c>
      <c r="E57" s="689">
        <v>6</v>
      </c>
      <c r="F57" s="1295">
        <v>37</v>
      </c>
      <c r="G57" s="1261">
        <f t="shared" si="8"/>
        <v>37</v>
      </c>
      <c r="H57" s="1261">
        <v>15</v>
      </c>
      <c r="I57" s="1261">
        <f t="shared" si="9"/>
        <v>15</v>
      </c>
      <c r="J57" s="1262">
        <v>590</v>
      </c>
      <c r="K57" s="1259">
        <f t="shared" si="10"/>
        <v>8850</v>
      </c>
      <c r="M57" s="1297"/>
    </row>
    <row r="58" spans="1:13" ht="15.75">
      <c r="A58" s="1257">
        <f t="shared" si="11"/>
        <v>11</v>
      </c>
      <c r="B58" s="607" t="s">
        <v>874</v>
      </c>
      <c r="C58" s="268" t="s">
        <v>864</v>
      </c>
      <c r="D58" s="689">
        <v>1</v>
      </c>
      <c r="E58" s="689">
        <v>5</v>
      </c>
      <c r="F58" s="1295">
        <v>37</v>
      </c>
      <c r="G58" s="1261">
        <f t="shared" si="8"/>
        <v>37</v>
      </c>
      <c r="H58" s="1261">
        <v>25</v>
      </c>
      <c r="I58" s="1261">
        <f t="shared" si="9"/>
        <v>25</v>
      </c>
      <c r="J58" s="1262">
        <v>700</v>
      </c>
      <c r="K58" s="1259">
        <f t="shared" si="10"/>
        <v>17500</v>
      </c>
      <c r="M58" s="1297"/>
    </row>
    <row r="59" spans="1:13" ht="15.75">
      <c r="A59" s="1257">
        <f t="shared" si="11"/>
        <v>12</v>
      </c>
      <c r="B59" s="607" t="s">
        <v>876</v>
      </c>
      <c r="C59" s="268" t="s">
        <v>864</v>
      </c>
      <c r="D59" s="689">
        <v>2</v>
      </c>
      <c r="E59" s="689">
        <v>2</v>
      </c>
      <c r="F59" s="1295">
        <v>37</v>
      </c>
      <c r="G59" s="1261">
        <f t="shared" si="8"/>
        <v>74</v>
      </c>
      <c r="H59" s="1261">
        <v>25</v>
      </c>
      <c r="I59" s="1261">
        <f t="shared" si="9"/>
        <v>25</v>
      </c>
      <c r="J59" s="1262">
        <v>1487</v>
      </c>
      <c r="K59" s="1259">
        <f t="shared" si="10"/>
        <v>37175</v>
      </c>
      <c r="M59" s="1297"/>
    </row>
    <row r="60" spans="1:13" ht="15.75">
      <c r="A60" s="1257">
        <f t="shared" si="11"/>
        <v>13</v>
      </c>
      <c r="B60" s="607" t="s">
        <v>877</v>
      </c>
      <c r="C60" s="268" t="s">
        <v>864</v>
      </c>
      <c r="D60" s="689">
        <v>1</v>
      </c>
      <c r="E60" s="689">
        <v>7</v>
      </c>
      <c r="F60" s="1295">
        <v>37</v>
      </c>
      <c r="G60" s="1261">
        <f t="shared" si="8"/>
        <v>37</v>
      </c>
      <c r="H60" s="1261">
        <v>0</v>
      </c>
      <c r="I60" s="1261">
        <f t="shared" si="9"/>
        <v>0</v>
      </c>
      <c r="J60" s="1262">
        <v>0</v>
      </c>
      <c r="K60" s="1259">
        <f t="shared" si="10"/>
        <v>0</v>
      </c>
      <c r="M60" s="1297"/>
    </row>
    <row r="61" spans="1:13" ht="15.75">
      <c r="A61" s="1257">
        <f t="shared" si="11"/>
        <v>14</v>
      </c>
      <c r="B61" s="607" t="s">
        <v>875</v>
      </c>
      <c r="C61" s="268" t="s">
        <v>864</v>
      </c>
      <c r="D61" s="689">
        <v>1</v>
      </c>
      <c r="E61" s="689">
        <v>5</v>
      </c>
      <c r="F61" s="1295">
        <v>37</v>
      </c>
      <c r="G61" s="1261">
        <f t="shared" si="8"/>
        <v>37</v>
      </c>
      <c r="H61" s="1261">
        <v>0</v>
      </c>
      <c r="I61" s="1261">
        <f t="shared" si="9"/>
        <v>0</v>
      </c>
      <c r="J61" s="1263">
        <v>0</v>
      </c>
      <c r="K61" s="1259">
        <f t="shared" si="10"/>
        <v>0</v>
      </c>
      <c r="M61" s="1297"/>
    </row>
    <row r="62" spans="1:13" ht="15.75">
      <c r="A62" s="1257">
        <f t="shared" si="11"/>
        <v>15</v>
      </c>
      <c r="B62" s="607" t="s">
        <v>878</v>
      </c>
      <c r="C62" s="268" t="s">
        <v>864</v>
      </c>
      <c r="D62" s="689">
        <v>1</v>
      </c>
      <c r="E62" s="689">
        <v>7</v>
      </c>
      <c r="F62" s="1295">
        <v>37</v>
      </c>
      <c r="G62" s="1261">
        <f t="shared" si="8"/>
        <v>37</v>
      </c>
      <c r="H62" s="1261">
        <v>0</v>
      </c>
      <c r="I62" s="1261">
        <f t="shared" si="9"/>
        <v>0</v>
      </c>
      <c r="J62" s="1263">
        <v>0</v>
      </c>
      <c r="K62" s="1259">
        <f t="shared" si="10"/>
        <v>0</v>
      </c>
      <c r="M62" s="1297"/>
    </row>
    <row r="63" spans="1:13" ht="15.75">
      <c r="A63" s="1257"/>
      <c r="B63" s="1264"/>
      <c r="C63" s="1265"/>
      <c r="D63" s="1266"/>
      <c r="E63" s="1266"/>
      <c r="F63" s="1267"/>
      <c r="G63" s="1267"/>
      <c r="H63" s="1267"/>
      <c r="I63" s="1267"/>
      <c r="J63" s="1268" t="s">
        <v>183</v>
      </c>
      <c r="K63" s="1260">
        <f>SUM(K47:K62)</f>
        <v>173425</v>
      </c>
      <c r="M63" s="1297"/>
    </row>
    <row r="64" spans="1:13" ht="15.75">
      <c r="A64" s="1257"/>
      <c r="B64" s="1264"/>
      <c r="C64" s="1265"/>
      <c r="D64" s="1266"/>
      <c r="E64" s="1266"/>
      <c r="F64" s="1267"/>
      <c r="G64" s="1267"/>
      <c r="H64" s="1267"/>
      <c r="I64" s="1901" t="s">
        <v>879</v>
      </c>
      <c r="J64" s="1902"/>
      <c r="K64" s="1260">
        <f>K46+K63</f>
        <v>759373.98</v>
      </c>
      <c r="M64" s="1297"/>
    </row>
    <row r="65" spans="1:11" s="671" customFormat="1" ht="38.25" customHeight="1">
      <c r="B65" s="791" t="s">
        <v>1077</v>
      </c>
      <c r="C65" s="664"/>
      <c r="D65" s="696"/>
      <c r="E65" s="664"/>
      <c r="F65" s="664"/>
      <c r="G65" s="697"/>
      <c r="H65" s="664"/>
      <c r="I65" s="664"/>
      <c r="K65" s="696"/>
    </row>
    <row r="66" spans="1:11" s="671" customFormat="1" ht="31.5" customHeight="1">
      <c r="B66" s="670"/>
      <c r="C66" s="698"/>
      <c r="D66" s="699" t="s">
        <v>1078</v>
      </c>
      <c r="E66" s="699"/>
      <c r="F66" s="1099"/>
      <c r="G66" s="1320"/>
      <c r="H66" s="1255"/>
      <c r="I66" s="1255"/>
      <c r="J66" s="1099"/>
      <c r="K66" s="665" t="s">
        <v>1079</v>
      </c>
    </row>
    <row r="67" spans="1:11" s="671" customFormat="1" ht="20.25" customHeight="1">
      <c r="B67" s="1311" t="s">
        <v>1076</v>
      </c>
      <c r="C67" s="664"/>
      <c r="D67" s="701"/>
      <c r="E67" s="666"/>
      <c r="F67" s="666"/>
      <c r="G67" s="665"/>
      <c r="H67" s="666"/>
      <c r="I67" s="666"/>
      <c r="J67" s="1099"/>
      <c r="K67" s="701"/>
    </row>
    <row r="68" spans="1:11" s="671" customFormat="1" ht="31.5" customHeight="1">
      <c r="B68" s="670"/>
      <c r="C68" s="698"/>
      <c r="D68" s="1255" t="s">
        <v>1078</v>
      </c>
      <c r="E68" s="699"/>
      <c r="F68" s="1099"/>
      <c r="G68" s="1320"/>
      <c r="H68" s="1255"/>
      <c r="I68" s="1255"/>
      <c r="J68" s="1099"/>
      <c r="K68" s="665" t="s">
        <v>1079</v>
      </c>
    </row>
    <row r="69" spans="1:11" ht="15.75">
      <c r="A69" s="1314"/>
      <c r="B69" s="1314"/>
      <c r="C69" s="1314"/>
      <c r="D69" s="1314"/>
      <c r="E69" s="1314"/>
      <c r="F69" s="1314"/>
      <c r="G69" s="1314"/>
      <c r="H69" s="1314"/>
      <c r="I69" s="1315"/>
      <c r="J69" s="1315"/>
      <c r="K69" s="1315"/>
    </row>
    <row r="70" spans="1:11" ht="15.75">
      <c r="A70" s="1315"/>
      <c r="B70" s="1315"/>
      <c r="C70" s="1315"/>
      <c r="D70" s="1315"/>
      <c r="E70" s="1315"/>
      <c r="F70" s="1315"/>
      <c r="G70" s="1315"/>
      <c r="H70" s="1315"/>
      <c r="I70" s="1315"/>
      <c r="J70" s="1315"/>
      <c r="K70" s="1315"/>
    </row>
    <row r="71" spans="1:11">
      <c r="A71" s="1316"/>
      <c r="B71" s="1316"/>
      <c r="C71" s="1316"/>
      <c r="D71" s="1317"/>
      <c r="E71" s="1316"/>
    </row>
  </sheetData>
  <customSheetViews>
    <customSheetView guid="{CA0FB9E2-E541-4C74-BCFE-D75491869B36}" showPageBreaks="1" printArea="1" view="pageBreakPreview">
      <selection activeCell="M27" sqref="M27"/>
      <pageMargins left="0.82677165354330717" right="0.19685039370078741" top="0.19685039370078741" bottom="0.19685039370078741" header="0.51181102362204722" footer="0.51181102362204722"/>
      <pageSetup paperSize="9" scale="76" orientation="portrait" r:id="rId1"/>
      <headerFooter alignWithMargins="0"/>
    </customSheetView>
    <customSheetView guid="{F10E3D8B-5892-420A-B023-68C6496D556B}" showPageBreaks="1" printArea="1">
      <selection activeCell="B10" sqref="B10"/>
      <pageMargins left="0.82677165354330717" right="0.19685039370078741" top="0.19685039370078741" bottom="0.19685039370078741" header="0.51181102362204722" footer="0.51181102362204722"/>
      <pageSetup paperSize="9" scale="77" orientation="portrait" r:id="rId2"/>
      <headerFooter alignWithMargins="0"/>
    </customSheetView>
    <customSheetView guid="{FE7E58EF-FECC-4DF6-BB75-BA97138CB219}" showPageBreaks="1" printArea="1">
      <selection activeCell="B10" sqref="B10"/>
      <pageMargins left="0.82677165354330717" right="0.19685039370078741" top="0.19685039370078741" bottom="0.19685039370078741" header="0.51181102362204722" footer="0.51181102362204722"/>
      <pageSetup paperSize="9" scale="77" orientation="portrait" r:id="rId3"/>
      <headerFooter alignWithMargins="0"/>
    </customSheetView>
    <customSheetView guid="{43136B00-66C6-4289-99D3-5EF20611F834}" showPageBreaks="1" printArea="1">
      <selection activeCell="H25" sqref="H25"/>
      <pageMargins left="0.82677165354330717" right="0.19685039370078741" top="0.19685039370078741" bottom="0.19685039370078741" header="0.51181102362204722" footer="0.51181102362204722"/>
      <pageSetup paperSize="9" scale="77" orientation="portrait" r:id="rId4"/>
      <headerFooter alignWithMargins="0"/>
    </customSheetView>
    <customSheetView guid="{22820B9F-10DE-4629-AF3D-4AF98A9BCEDB}" showPageBreaks="1" printArea="1" view="pageBreakPreview">
      <selection activeCell="K22" sqref="K22:K25"/>
      <pageMargins left="0.82677165354330717" right="0.19685039370078741" top="0.19685039370078741" bottom="0.19685039370078741" header="0.51181102362204722" footer="0.51181102362204722"/>
      <pageSetup paperSize="9" scale="76" orientation="portrait" r:id="rId5"/>
      <headerFooter alignWithMargins="0"/>
    </customSheetView>
  </customSheetViews>
  <mergeCells count="17">
    <mergeCell ref="E4:H4"/>
    <mergeCell ref="B9:J9"/>
    <mergeCell ref="A3:K3"/>
    <mergeCell ref="A5:K5"/>
    <mergeCell ref="A6:A7"/>
    <mergeCell ref="B6:B7"/>
    <mergeCell ref="C6:C7"/>
    <mergeCell ref="D6:D7"/>
    <mergeCell ref="E6:E7"/>
    <mergeCell ref="F6:F7"/>
    <mergeCell ref="G6:H6"/>
    <mergeCell ref="I6:K6"/>
    <mergeCell ref="B47:J47"/>
    <mergeCell ref="I64:J64"/>
    <mergeCell ref="B46:J46"/>
    <mergeCell ref="B26:J26"/>
    <mergeCell ref="B27:J27"/>
  </mergeCells>
  <phoneticPr fontId="116" type="noConversion"/>
  <pageMargins left="0.82677165354330717" right="0.19685039370078741" top="0.19685039370078741" bottom="0.19685039370078741" header="0.51181102362204722" footer="0.51181102362204722"/>
  <pageSetup paperSize="9" scale="73" orientation="portrait" r:id="rId6"/>
  <headerFooter alignWithMargins="0"/>
</worksheet>
</file>

<file path=xl/worksheets/sheet43.xml><?xml version="1.0" encoding="utf-8"?>
<worksheet xmlns="http://schemas.openxmlformats.org/spreadsheetml/2006/main" xmlns:r="http://schemas.openxmlformats.org/officeDocument/2006/relationships">
  <sheetPr>
    <tabColor theme="7" tint="-0.249977111117893"/>
  </sheetPr>
  <dimension ref="A1:M72"/>
  <sheetViews>
    <sheetView view="pageBreakPreview" topLeftCell="A49" zoomScaleNormal="100" workbookViewId="0">
      <selection activeCell="H53" sqref="H53:K59"/>
    </sheetView>
  </sheetViews>
  <sheetFormatPr defaultRowHeight="15"/>
  <cols>
    <col min="1" max="1" width="4.140625" style="1272" customWidth="1"/>
    <col min="2" max="2" width="19.140625" style="1272" customWidth="1"/>
    <col min="3" max="8" width="9.140625" style="1272"/>
    <col min="9" max="9" width="12" style="1272" customWidth="1"/>
    <col min="10" max="10" width="11.28515625" style="1272" customWidth="1"/>
    <col min="11" max="11" width="14.140625" style="1272" customWidth="1"/>
    <col min="12" max="16384" width="9.140625" style="1272"/>
  </cols>
  <sheetData>
    <row r="1" spans="1:13" ht="15.75">
      <c r="A1" s="1287"/>
      <c r="B1" s="1287"/>
      <c r="C1" s="1287"/>
      <c r="D1" s="1287"/>
      <c r="E1" s="1287"/>
      <c r="F1" s="1287"/>
      <c r="G1" s="1287"/>
      <c r="H1" s="1287"/>
      <c r="I1" s="1287"/>
      <c r="J1" s="1287"/>
      <c r="K1" s="785" t="s">
        <v>964</v>
      </c>
    </row>
    <row r="2" spans="1:13" ht="15.75">
      <c r="A2" s="1287"/>
      <c r="B2" s="1287"/>
      <c r="C2" s="1287"/>
      <c r="D2" s="1287"/>
      <c r="E2" s="1287"/>
      <c r="F2" s="1287"/>
      <c r="G2" s="1287"/>
      <c r="H2" s="1287"/>
      <c r="I2" s="1287"/>
      <c r="J2" s="1287"/>
      <c r="K2" s="785"/>
    </row>
    <row r="3" spans="1:13" ht="15.75">
      <c r="A3" s="1910" t="s">
        <v>1722</v>
      </c>
      <c r="B3" s="1910"/>
      <c r="C3" s="1910"/>
      <c r="D3" s="1910"/>
      <c r="E3" s="1910"/>
      <c r="F3" s="1910"/>
      <c r="G3" s="1910"/>
      <c r="H3" s="1910"/>
      <c r="I3" s="1910"/>
      <c r="J3" s="1910"/>
      <c r="K3" s="1910"/>
    </row>
    <row r="4" spans="1:13" ht="15.75">
      <c r="A4" s="1288"/>
      <c r="B4" s="1288"/>
      <c r="C4" s="1288"/>
      <c r="D4" s="1288"/>
      <c r="E4" s="1910" t="s">
        <v>752</v>
      </c>
      <c r="F4" s="1910"/>
      <c r="G4" s="1910"/>
      <c r="H4" s="1288"/>
      <c r="I4" s="1288"/>
      <c r="J4" s="1288"/>
      <c r="K4" s="1288"/>
    </row>
    <row r="5" spans="1:13" ht="15.75">
      <c r="A5" s="1911"/>
      <c r="B5" s="1911"/>
      <c r="C5" s="1911"/>
      <c r="D5" s="1911"/>
      <c r="E5" s="1911"/>
      <c r="F5" s="1911"/>
      <c r="G5" s="1911"/>
      <c r="H5" s="1911"/>
      <c r="I5" s="1911"/>
      <c r="J5" s="1911"/>
      <c r="K5" s="1911"/>
    </row>
    <row r="6" spans="1:13" ht="36.75" customHeight="1">
      <c r="A6" s="1912" t="s">
        <v>1267</v>
      </c>
      <c r="B6" s="1912" t="s">
        <v>224</v>
      </c>
      <c r="C6" s="1912" t="s">
        <v>1305</v>
      </c>
      <c r="D6" s="1912" t="s">
        <v>225</v>
      </c>
      <c r="E6" s="1912" t="s">
        <v>1031</v>
      </c>
      <c r="F6" s="1912" t="s">
        <v>226</v>
      </c>
      <c r="G6" s="1894" t="s">
        <v>227</v>
      </c>
      <c r="H6" s="1895"/>
      <c r="I6" s="1896" t="s">
        <v>727</v>
      </c>
      <c r="J6" s="1897"/>
      <c r="K6" s="1897"/>
    </row>
    <row r="7" spans="1:13" ht="78.75">
      <c r="A7" s="1913"/>
      <c r="B7" s="1913"/>
      <c r="C7" s="1913"/>
      <c r="D7" s="1913"/>
      <c r="E7" s="1913"/>
      <c r="F7" s="1913"/>
      <c r="G7" s="1289" t="s">
        <v>66</v>
      </c>
      <c r="H7" s="1290" t="s">
        <v>728</v>
      </c>
      <c r="I7" s="1291" t="s">
        <v>1032</v>
      </c>
      <c r="J7" s="1291" t="s">
        <v>228</v>
      </c>
      <c r="K7" s="1291" t="s">
        <v>1033</v>
      </c>
    </row>
    <row r="8" spans="1:13" ht="15.75">
      <c r="A8" s="1292">
        <v>1</v>
      </c>
      <c r="B8" s="1293">
        <v>2</v>
      </c>
      <c r="C8" s="1293">
        <v>3</v>
      </c>
      <c r="D8" s="1293">
        <v>4</v>
      </c>
      <c r="E8" s="1293">
        <v>5</v>
      </c>
      <c r="F8" s="1294">
        <v>6</v>
      </c>
      <c r="G8" s="1289">
        <v>7</v>
      </c>
      <c r="H8" s="1290">
        <v>8</v>
      </c>
      <c r="I8" s="1291">
        <v>9</v>
      </c>
      <c r="J8" s="1291">
        <v>10</v>
      </c>
      <c r="K8" s="1291">
        <v>11</v>
      </c>
    </row>
    <row r="9" spans="1:13" ht="18.75">
      <c r="A9" s="1258"/>
      <c r="B9" s="1909" t="s">
        <v>1101</v>
      </c>
      <c r="C9" s="1909"/>
      <c r="D9" s="1909"/>
      <c r="E9" s="1909"/>
      <c r="F9" s="1909"/>
      <c r="G9" s="1909"/>
      <c r="H9" s="1909"/>
      <c r="I9" s="1909"/>
      <c r="J9" s="1909"/>
      <c r="K9" s="1258"/>
    </row>
    <row r="10" spans="1:13" ht="31.5">
      <c r="A10" s="1257">
        <v>1</v>
      </c>
      <c r="B10" s="607" t="s">
        <v>1102</v>
      </c>
      <c r="C10" s="268" t="s">
        <v>1135</v>
      </c>
      <c r="D10" s="689">
        <v>1</v>
      </c>
      <c r="E10" s="689">
        <v>2</v>
      </c>
      <c r="F10" s="1295">
        <v>22</v>
      </c>
      <c r="G10" s="1261">
        <f>D10*F10</f>
        <v>22</v>
      </c>
      <c r="H10" s="1296">
        <v>15</v>
      </c>
      <c r="I10" s="1261">
        <f t="shared" ref="I10:I25" si="0">D10*F10-G10+H10</f>
        <v>15</v>
      </c>
      <c r="J10" s="1259">
        <v>2500</v>
      </c>
      <c r="K10" s="1259">
        <f>I10*J10</f>
        <v>37500</v>
      </c>
      <c r="M10" s="1297"/>
    </row>
    <row r="11" spans="1:13" ht="31.5">
      <c r="A11" s="1257">
        <v>2</v>
      </c>
      <c r="B11" s="607" t="s">
        <v>1103</v>
      </c>
      <c r="C11" s="268" t="s">
        <v>1135</v>
      </c>
      <c r="D11" s="689">
        <v>1</v>
      </c>
      <c r="E11" s="689">
        <v>2</v>
      </c>
      <c r="F11" s="1295">
        <v>22</v>
      </c>
      <c r="G11" s="1261">
        <f t="shared" ref="G11:G25" si="1">D11*F11</f>
        <v>22</v>
      </c>
      <c r="H11" s="1296">
        <v>15</v>
      </c>
      <c r="I11" s="1261">
        <f t="shared" si="0"/>
        <v>15</v>
      </c>
      <c r="J11" s="1259">
        <v>1500</v>
      </c>
      <c r="K11" s="1259">
        <f t="shared" ref="K11:K25" si="2">I11*J11</f>
        <v>22500</v>
      </c>
      <c r="M11" s="1297"/>
    </row>
    <row r="12" spans="1:13" ht="15.75">
      <c r="A12" s="1257">
        <v>3</v>
      </c>
      <c r="B12" s="607" t="s">
        <v>1104</v>
      </c>
      <c r="C12" s="268" t="s">
        <v>1135</v>
      </c>
      <c r="D12" s="689">
        <v>1</v>
      </c>
      <c r="E12" s="689">
        <v>3</v>
      </c>
      <c r="F12" s="1295">
        <v>22</v>
      </c>
      <c r="G12" s="1261">
        <f t="shared" si="1"/>
        <v>22</v>
      </c>
      <c r="H12" s="1261">
        <v>15</v>
      </c>
      <c r="I12" s="1261">
        <f t="shared" si="0"/>
        <v>15</v>
      </c>
      <c r="J12" s="1259">
        <v>200</v>
      </c>
      <c r="K12" s="1259">
        <f t="shared" si="2"/>
        <v>3000</v>
      </c>
      <c r="M12" s="1297"/>
    </row>
    <row r="13" spans="1:13" ht="31.5">
      <c r="A13" s="1257">
        <v>4</v>
      </c>
      <c r="B13" s="607" t="s">
        <v>1105</v>
      </c>
      <c r="C13" s="268" t="s">
        <v>1106</v>
      </c>
      <c r="D13" s="689">
        <v>2</v>
      </c>
      <c r="E13" s="689">
        <v>1</v>
      </c>
      <c r="F13" s="1295">
        <v>22</v>
      </c>
      <c r="G13" s="1261">
        <f t="shared" si="1"/>
        <v>44</v>
      </c>
      <c r="H13" s="1261">
        <v>22</v>
      </c>
      <c r="I13" s="1261">
        <f t="shared" si="0"/>
        <v>22</v>
      </c>
      <c r="J13" s="1259">
        <v>150.69999999999999</v>
      </c>
      <c r="K13" s="1259">
        <f t="shared" si="2"/>
        <v>3315.3999999999996</v>
      </c>
      <c r="M13" s="1297"/>
    </row>
    <row r="14" spans="1:13" ht="15.75">
      <c r="A14" s="1257">
        <v>5</v>
      </c>
      <c r="B14" s="607" t="s">
        <v>1107</v>
      </c>
      <c r="C14" s="268" t="s">
        <v>1135</v>
      </c>
      <c r="D14" s="689">
        <v>1</v>
      </c>
      <c r="E14" s="689">
        <v>2</v>
      </c>
      <c r="F14" s="1295">
        <v>22</v>
      </c>
      <c r="G14" s="1261">
        <f t="shared" si="1"/>
        <v>22</v>
      </c>
      <c r="H14" s="1261">
        <v>15</v>
      </c>
      <c r="I14" s="1261">
        <f t="shared" si="0"/>
        <v>15</v>
      </c>
      <c r="J14" s="1259">
        <v>5400.35</v>
      </c>
      <c r="K14" s="1259">
        <f t="shared" si="2"/>
        <v>81005.25</v>
      </c>
      <c r="M14" s="1297"/>
    </row>
    <row r="15" spans="1:13" ht="47.25">
      <c r="A15" s="1257">
        <v>6</v>
      </c>
      <c r="B15" s="607" t="s">
        <v>1108</v>
      </c>
      <c r="C15" s="268" t="s">
        <v>1109</v>
      </c>
      <c r="D15" s="689">
        <v>2</v>
      </c>
      <c r="E15" s="689">
        <v>2</v>
      </c>
      <c r="F15" s="1295">
        <v>22</v>
      </c>
      <c r="G15" s="1261">
        <f t="shared" si="1"/>
        <v>44</v>
      </c>
      <c r="H15" s="1261">
        <v>22</v>
      </c>
      <c r="I15" s="1261">
        <f t="shared" si="0"/>
        <v>22</v>
      </c>
      <c r="J15" s="1259">
        <v>2300.9</v>
      </c>
      <c r="K15" s="1259">
        <f t="shared" si="2"/>
        <v>50619.8</v>
      </c>
      <c r="M15" s="1297"/>
    </row>
    <row r="16" spans="1:13" ht="31.5">
      <c r="A16" s="1257">
        <v>7</v>
      </c>
      <c r="B16" s="607" t="s">
        <v>1110</v>
      </c>
      <c r="C16" s="268" t="s">
        <v>1135</v>
      </c>
      <c r="D16" s="689">
        <v>2</v>
      </c>
      <c r="E16" s="689">
        <v>1</v>
      </c>
      <c r="F16" s="1295">
        <v>22</v>
      </c>
      <c r="G16" s="1261">
        <f t="shared" si="1"/>
        <v>44</v>
      </c>
      <c r="H16" s="1261">
        <v>25</v>
      </c>
      <c r="I16" s="1261">
        <f t="shared" si="0"/>
        <v>25</v>
      </c>
      <c r="J16" s="1259">
        <v>1200</v>
      </c>
      <c r="K16" s="1259">
        <f t="shared" si="2"/>
        <v>30000</v>
      </c>
      <c r="M16" s="1297"/>
    </row>
    <row r="17" spans="1:13" ht="31.5">
      <c r="A17" s="1257">
        <v>8</v>
      </c>
      <c r="B17" s="607" t="s">
        <v>1111</v>
      </c>
      <c r="C17" s="268" t="s">
        <v>1109</v>
      </c>
      <c r="D17" s="689">
        <v>2</v>
      </c>
      <c r="E17" s="689">
        <v>2</v>
      </c>
      <c r="F17" s="1295">
        <v>22</v>
      </c>
      <c r="G17" s="1261">
        <f t="shared" si="1"/>
        <v>44</v>
      </c>
      <c r="H17" s="1261">
        <v>22</v>
      </c>
      <c r="I17" s="1261">
        <f t="shared" si="0"/>
        <v>22</v>
      </c>
      <c r="J17" s="1259">
        <v>800</v>
      </c>
      <c r="K17" s="1259">
        <f t="shared" si="2"/>
        <v>17600</v>
      </c>
      <c r="M17" s="1297"/>
    </row>
    <row r="18" spans="1:13" ht="31.5">
      <c r="A18" s="1257">
        <v>9</v>
      </c>
      <c r="B18" s="607" t="s">
        <v>1112</v>
      </c>
      <c r="C18" s="268" t="s">
        <v>1135</v>
      </c>
      <c r="D18" s="689">
        <v>4</v>
      </c>
      <c r="E18" s="689">
        <v>1</v>
      </c>
      <c r="F18" s="1295">
        <v>22</v>
      </c>
      <c r="G18" s="1261">
        <f t="shared" si="1"/>
        <v>88</v>
      </c>
      <c r="H18" s="1261">
        <v>44</v>
      </c>
      <c r="I18" s="1261">
        <f t="shared" si="0"/>
        <v>44</v>
      </c>
      <c r="J18" s="1259">
        <v>432.59</v>
      </c>
      <c r="K18" s="1259">
        <f t="shared" si="2"/>
        <v>19033.96</v>
      </c>
      <c r="M18" s="1297"/>
    </row>
    <row r="19" spans="1:13" ht="15.75">
      <c r="A19" s="1257">
        <v>10</v>
      </c>
      <c r="B19" s="607" t="s">
        <v>1113</v>
      </c>
      <c r="C19" s="268" t="s">
        <v>1135</v>
      </c>
      <c r="D19" s="689">
        <v>2</v>
      </c>
      <c r="E19" s="689">
        <v>1</v>
      </c>
      <c r="F19" s="1295">
        <v>22</v>
      </c>
      <c r="G19" s="1261">
        <f t="shared" si="1"/>
        <v>44</v>
      </c>
      <c r="H19" s="1261">
        <v>22</v>
      </c>
      <c r="I19" s="1261">
        <f t="shared" si="0"/>
        <v>22</v>
      </c>
      <c r="J19" s="1259">
        <v>200</v>
      </c>
      <c r="K19" s="1259">
        <f t="shared" si="2"/>
        <v>4400</v>
      </c>
      <c r="M19" s="1297"/>
    </row>
    <row r="20" spans="1:13" ht="47.25">
      <c r="A20" s="1257">
        <v>11</v>
      </c>
      <c r="B20" s="607" t="s">
        <v>1114</v>
      </c>
      <c r="C20" s="268" t="s">
        <v>1135</v>
      </c>
      <c r="D20" s="689">
        <v>4</v>
      </c>
      <c r="E20" s="689">
        <v>1</v>
      </c>
      <c r="F20" s="1295">
        <v>22</v>
      </c>
      <c r="G20" s="1261">
        <f t="shared" si="1"/>
        <v>88</v>
      </c>
      <c r="H20" s="1261">
        <v>44</v>
      </c>
      <c r="I20" s="1261">
        <f t="shared" si="0"/>
        <v>44</v>
      </c>
      <c r="J20" s="1259">
        <v>230</v>
      </c>
      <c r="K20" s="1259">
        <f t="shared" si="2"/>
        <v>10120</v>
      </c>
      <c r="M20" s="1297"/>
    </row>
    <row r="21" spans="1:13" ht="31.5">
      <c r="A21" s="1257">
        <v>12</v>
      </c>
      <c r="B21" s="607" t="s">
        <v>1115</v>
      </c>
      <c r="C21" s="268" t="s">
        <v>1135</v>
      </c>
      <c r="D21" s="689">
        <v>1</v>
      </c>
      <c r="E21" s="689">
        <v>2</v>
      </c>
      <c r="F21" s="1295">
        <v>22</v>
      </c>
      <c r="G21" s="1261">
        <f t="shared" si="1"/>
        <v>22</v>
      </c>
      <c r="H21" s="1261">
        <v>20</v>
      </c>
      <c r="I21" s="1261">
        <f t="shared" si="0"/>
        <v>20</v>
      </c>
      <c r="J21" s="1259">
        <v>500</v>
      </c>
      <c r="K21" s="1259">
        <f t="shared" si="2"/>
        <v>10000</v>
      </c>
      <c r="M21" s="1297"/>
    </row>
    <row r="22" spans="1:13" ht="31.5">
      <c r="A22" s="1257">
        <v>13</v>
      </c>
      <c r="B22" s="607" t="s">
        <v>1116</v>
      </c>
      <c r="C22" s="268" t="s">
        <v>1135</v>
      </c>
      <c r="D22" s="689">
        <v>1</v>
      </c>
      <c r="E22" s="689">
        <v>2</v>
      </c>
      <c r="F22" s="1295">
        <v>22</v>
      </c>
      <c r="G22" s="1261">
        <f t="shared" si="1"/>
        <v>22</v>
      </c>
      <c r="H22" s="1261">
        <v>20</v>
      </c>
      <c r="I22" s="1261">
        <f t="shared" si="0"/>
        <v>20</v>
      </c>
      <c r="J22" s="1259">
        <v>300</v>
      </c>
      <c r="K22" s="1259">
        <f t="shared" si="2"/>
        <v>6000</v>
      </c>
      <c r="M22" s="1297"/>
    </row>
    <row r="23" spans="1:13" ht="31.5">
      <c r="A23" s="1257">
        <v>14</v>
      </c>
      <c r="B23" s="607" t="s">
        <v>1117</v>
      </c>
      <c r="C23" s="268" t="s">
        <v>1106</v>
      </c>
      <c r="D23" s="689">
        <v>1</v>
      </c>
      <c r="E23" s="689">
        <v>1</v>
      </c>
      <c r="F23" s="1295">
        <v>22</v>
      </c>
      <c r="G23" s="1261">
        <f t="shared" si="1"/>
        <v>22</v>
      </c>
      <c r="H23" s="1261">
        <v>20</v>
      </c>
      <c r="I23" s="1261">
        <f t="shared" si="0"/>
        <v>20</v>
      </c>
      <c r="J23" s="1259">
        <v>2560</v>
      </c>
      <c r="K23" s="1259">
        <f t="shared" si="2"/>
        <v>51200</v>
      </c>
      <c r="M23" s="1297"/>
    </row>
    <row r="24" spans="1:13" ht="31.5">
      <c r="A24" s="1257">
        <v>15</v>
      </c>
      <c r="B24" s="607" t="s">
        <v>1118</v>
      </c>
      <c r="C24" s="268" t="s">
        <v>1106</v>
      </c>
      <c r="D24" s="689">
        <v>1</v>
      </c>
      <c r="E24" s="689">
        <v>2</v>
      </c>
      <c r="F24" s="1295">
        <v>22</v>
      </c>
      <c r="G24" s="1261">
        <f t="shared" si="1"/>
        <v>22</v>
      </c>
      <c r="H24" s="1261">
        <v>20</v>
      </c>
      <c r="I24" s="1261">
        <f t="shared" si="0"/>
        <v>20</v>
      </c>
      <c r="J24" s="1259">
        <v>1800</v>
      </c>
      <c r="K24" s="1259">
        <f t="shared" si="2"/>
        <v>36000</v>
      </c>
      <c r="M24" s="1297"/>
    </row>
    <row r="25" spans="1:13" ht="15.75">
      <c r="A25" s="1257">
        <v>16</v>
      </c>
      <c r="B25" s="607" t="s">
        <v>1119</v>
      </c>
      <c r="C25" s="268" t="s">
        <v>1106</v>
      </c>
      <c r="D25" s="689">
        <v>1</v>
      </c>
      <c r="E25" s="689">
        <v>1</v>
      </c>
      <c r="F25" s="1295">
        <v>22</v>
      </c>
      <c r="G25" s="1261">
        <f t="shared" si="1"/>
        <v>22</v>
      </c>
      <c r="H25" s="1261">
        <v>20</v>
      </c>
      <c r="I25" s="1261">
        <f t="shared" si="0"/>
        <v>20</v>
      </c>
      <c r="J25" s="1259">
        <v>1450</v>
      </c>
      <c r="K25" s="1259">
        <f t="shared" si="2"/>
        <v>29000</v>
      </c>
      <c r="M25" s="1297"/>
    </row>
    <row r="26" spans="1:13" ht="15.75">
      <c r="A26" s="1298"/>
      <c r="B26" s="1914" t="s">
        <v>183</v>
      </c>
      <c r="C26" s="1915"/>
      <c r="D26" s="1915"/>
      <c r="E26" s="1915"/>
      <c r="F26" s="1915"/>
      <c r="G26" s="1915"/>
      <c r="H26" s="1915"/>
      <c r="I26" s="1915"/>
      <c r="J26" s="1916"/>
      <c r="K26" s="1260">
        <f>SUM(K10:K25)</f>
        <v>411294.41000000003</v>
      </c>
      <c r="M26" s="1297"/>
    </row>
    <row r="27" spans="1:13" ht="18.75">
      <c r="A27" s="1258"/>
      <c r="B27" s="1909" t="s">
        <v>1120</v>
      </c>
      <c r="C27" s="1909"/>
      <c r="D27" s="1909"/>
      <c r="E27" s="1909"/>
      <c r="F27" s="1909"/>
      <c r="G27" s="1909"/>
      <c r="H27" s="1909"/>
      <c r="I27" s="1909"/>
      <c r="J27" s="1909"/>
      <c r="K27" s="1258"/>
      <c r="M27" s="1297"/>
    </row>
    <row r="28" spans="1:13" ht="31.5">
      <c r="A28" s="1298">
        <v>1</v>
      </c>
      <c r="B28" s="607" t="s">
        <v>1102</v>
      </c>
      <c r="C28" s="268" t="s">
        <v>1135</v>
      </c>
      <c r="D28" s="689">
        <v>1</v>
      </c>
      <c r="E28" s="689">
        <v>2</v>
      </c>
      <c r="F28" s="1295">
        <v>15</v>
      </c>
      <c r="G28" s="1261">
        <f t="shared" ref="G28:G44" si="3">D28*F28</f>
        <v>15</v>
      </c>
      <c r="H28" s="1261">
        <v>10</v>
      </c>
      <c r="I28" s="1261">
        <f t="shared" ref="I28:I44" si="4">D28*F28-G28+H28</f>
        <v>10</v>
      </c>
      <c r="J28" s="1262">
        <v>2500</v>
      </c>
      <c r="K28" s="1259">
        <f>I28*J28</f>
        <v>25000</v>
      </c>
      <c r="M28" s="1297"/>
    </row>
    <row r="29" spans="1:13" ht="31.5">
      <c r="A29" s="1257">
        <v>2</v>
      </c>
      <c r="B29" s="607" t="s">
        <v>1103</v>
      </c>
      <c r="C29" s="268" t="s">
        <v>1135</v>
      </c>
      <c r="D29" s="689">
        <v>1</v>
      </c>
      <c r="E29" s="689">
        <v>2</v>
      </c>
      <c r="F29" s="1295">
        <v>15</v>
      </c>
      <c r="G29" s="1261">
        <f t="shared" si="3"/>
        <v>15</v>
      </c>
      <c r="H29" s="1261">
        <v>10</v>
      </c>
      <c r="I29" s="1261">
        <f t="shared" si="4"/>
        <v>10</v>
      </c>
      <c r="J29" s="1269">
        <v>1500</v>
      </c>
      <c r="K29" s="1259">
        <f t="shared" ref="K29:K44" si="5">I29*J29</f>
        <v>15000</v>
      </c>
      <c r="M29" s="1297"/>
    </row>
    <row r="30" spans="1:13" ht="15.75">
      <c r="A30" s="1257">
        <v>3</v>
      </c>
      <c r="B30" s="607" t="s">
        <v>1104</v>
      </c>
      <c r="C30" s="268" t="s">
        <v>1135</v>
      </c>
      <c r="D30" s="689">
        <v>1</v>
      </c>
      <c r="E30" s="689">
        <v>3</v>
      </c>
      <c r="F30" s="1295">
        <v>15</v>
      </c>
      <c r="G30" s="1261">
        <f t="shared" si="3"/>
        <v>15</v>
      </c>
      <c r="H30" s="1261">
        <v>0</v>
      </c>
      <c r="I30" s="1261">
        <f t="shared" si="4"/>
        <v>0</v>
      </c>
      <c r="J30" s="1262">
        <v>200</v>
      </c>
      <c r="K30" s="1259">
        <f t="shared" si="5"/>
        <v>0</v>
      </c>
      <c r="M30" s="1297"/>
    </row>
    <row r="31" spans="1:13" ht="31.5">
      <c r="A31" s="1257">
        <v>4</v>
      </c>
      <c r="B31" s="607" t="s">
        <v>1121</v>
      </c>
      <c r="C31" s="268" t="s">
        <v>1106</v>
      </c>
      <c r="D31" s="689">
        <v>2</v>
      </c>
      <c r="E31" s="689">
        <v>1</v>
      </c>
      <c r="F31" s="1295">
        <v>15</v>
      </c>
      <c r="G31" s="1261">
        <f t="shared" si="3"/>
        <v>30</v>
      </c>
      <c r="H31" s="1261">
        <v>15</v>
      </c>
      <c r="I31" s="1261">
        <f t="shared" si="4"/>
        <v>15</v>
      </c>
      <c r="J31" s="1262">
        <v>150.69999999999999</v>
      </c>
      <c r="K31" s="1259">
        <f t="shared" si="5"/>
        <v>2260.5</v>
      </c>
      <c r="M31" s="1297"/>
    </row>
    <row r="32" spans="1:13" ht="15.75">
      <c r="A32" s="1257">
        <v>5</v>
      </c>
      <c r="B32" s="607" t="s">
        <v>1107</v>
      </c>
      <c r="C32" s="268" t="s">
        <v>1135</v>
      </c>
      <c r="D32" s="689">
        <v>1</v>
      </c>
      <c r="E32" s="689">
        <v>2</v>
      </c>
      <c r="F32" s="1295">
        <v>15</v>
      </c>
      <c r="G32" s="1261">
        <f t="shared" si="3"/>
        <v>15</v>
      </c>
      <c r="H32" s="1261">
        <v>10</v>
      </c>
      <c r="I32" s="1261">
        <f t="shared" si="4"/>
        <v>10</v>
      </c>
      <c r="J32" s="1263">
        <v>1040.71</v>
      </c>
      <c r="K32" s="1259">
        <f t="shared" si="5"/>
        <v>10407.1</v>
      </c>
      <c r="M32" s="1297"/>
    </row>
    <row r="33" spans="1:13" ht="47.25">
      <c r="A33" s="1257">
        <v>6</v>
      </c>
      <c r="B33" s="607" t="s">
        <v>1108</v>
      </c>
      <c r="C33" s="268" t="s">
        <v>1109</v>
      </c>
      <c r="D33" s="689">
        <v>2</v>
      </c>
      <c r="E33" s="689">
        <v>2</v>
      </c>
      <c r="F33" s="1295">
        <v>15</v>
      </c>
      <c r="G33" s="1261">
        <f t="shared" si="3"/>
        <v>30</v>
      </c>
      <c r="H33" s="1261">
        <v>15</v>
      </c>
      <c r="I33" s="1261">
        <f t="shared" si="4"/>
        <v>15</v>
      </c>
      <c r="J33" s="1262">
        <v>2300.9</v>
      </c>
      <c r="K33" s="1259">
        <f t="shared" si="5"/>
        <v>34513.5</v>
      </c>
      <c r="M33" s="1297"/>
    </row>
    <row r="34" spans="1:13" ht="31.5">
      <c r="A34" s="1257">
        <v>7</v>
      </c>
      <c r="B34" s="607" t="s">
        <v>1122</v>
      </c>
      <c r="C34" s="268" t="s">
        <v>1135</v>
      </c>
      <c r="D34" s="689">
        <v>2</v>
      </c>
      <c r="E34" s="689">
        <v>1</v>
      </c>
      <c r="F34" s="1295">
        <v>15</v>
      </c>
      <c r="G34" s="1261">
        <f t="shared" si="3"/>
        <v>30</v>
      </c>
      <c r="H34" s="1261">
        <v>15</v>
      </c>
      <c r="I34" s="1261">
        <f t="shared" si="4"/>
        <v>15</v>
      </c>
      <c r="J34" s="1269">
        <v>1161.4100000000001</v>
      </c>
      <c r="K34" s="1259">
        <f t="shared" si="5"/>
        <v>17421.150000000001</v>
      </c>
      <c r="M34" s="1297"/>
    </row>
    <row r="35" spans="1:13" ht="31.5">
      <c r="A35" s="1257">
        <v>8</v>
      </c>
      <c r="B35" s="607" t="s">
        <v>1123</v>
      </c>
      <c r="C35" s="268" t="s">
        <v>1135</v>
      </c>
      <c r="D35" s="689">
        <v>2</v>
      </c>
      <c r="E35" s="689">
        <v>2</v>
      </c>
      <c r="F35" s="1295">
        <v>15</v>
      </c>
      <c r="G35" s="1261">
        <f t="shared" si="3"/>
        <v>30</v>
      </c>
      <c r="H35" s="1261">
        <v>15</v>
      </c>
      <c r="I35" s="1261">
        <f t="shared" si="4"/>
        <v>15</v>
      </c>
      <c r="J35" s="1269">
        <v>800</v>
      </c>
      <c r="K35" s="1259">
        <f t="shared" si="5"/>
        <v>12000</v>
      </c>
      <c r="M35" s="1297"/>
    </row>
    <row r="36" spans="1:13" ht="63">
      <c r="A36" s="1257">
        <v>9</v>
      </c>
      <c r="B36" s="607" t="s">
        <v>1124</v>
      </c>
      <c r="C36" s="268" t="s">
        <v>1135</v>
      </c>
      <c r="D36" s="689">
        <v>2</v>
      </c>
      <c r="E36" s="689">
        <v>1</v>
      </c>
      <c r="F36" s="1295">
        <v>15</v>
      </c>
      <c r="G36" s="1261">
        <f t="shared" si="3"/>
        <v>30</v>
      </c>
      <c r="H36" s="1261">
        <v>15</v>
      </c>
      <c r="I36" s="1261">
        <f t="shared" si="4"/>
        <v>15</v>
      </c>
      <c r="J36" s="1269">
        <v>207.62</v>
      </c>
      <c r="K36" s="1259">
        <f t="shared" si="5"/>
        <v>3114.3</v>
      </c>
      <c r="M36" s="1297"/>
    </row>
    <row r="37" spans="1:13" ht="31.5">
      <c r="A37" s="1257">
        <v>10</v>
      </c>
      <c r="B37" s="607" t="s">
        <v>1125</v>
      </c>
      <c r="C37" s="268" t="s">
        <v>1135</v>
      </c>
      <c r="D37" s="689">
        <v>2</v>
      </c>
      <c r="E37" s="689">
        <v>2</v>
      </c>
      <c r="F37" s="1295">
        <v>15</v>
      </c>
      <c r="G37" s="1261">
        <f t="shared" si="3"/>
        <v>30</v>
      </c>
      <c r="H37" s="1261">
        <v>15</v>
      </c>
      <c r="I37" s="1261">
        <f t="shared" si="4"/>
        <v>15</v>
      </c>
      <c r="J37" s="1262">
        <v>1200</v>
      </c>
      <c r="K37" s="1259">
        <f t="shared" si="5"/>
        <v>18000</v>
      </c>
      <c r="M37" s="1297"/>
    </row>
    <row r="38" spans="1:13" ht="15.75">
      <c r="A38" s="1257">
        <v>11</v>
      </c>
      <c r="B38" s="607" t="s">
        <v>1113</v>
      </c>
      <c r="C38" s="268" t="s">
        <v>1135</v>
      </c>
      <c r="D38" s="689">
        <v>2</v>
      </c>
      <c r="E38" s="689">
        <v>1</v>
      </c>
      <c r="F38" s="1295">
        <v>15</v>
      </c>
      <c r="G38" s="1261">
        <f t="shared" si="3"/>
        <v>30</v>
      </c>
      <c r="H38" s="1261">
        <v>15</v>
      </c>
      <c r="I38" s="1261">
        <f t="shared" si="4"/>
        <v>15</v>
      </c>
      <c r="J38" s="1262">
        <v>200</v>
      </c>
      <c r="K38" s="1259">
        <f t="shared" si="5"/>
        <v>3000</v>
      </c>
      <c r="M38" s="1297"/>
    </row>
    <row r="39" spans="1:13" ht="47.25">
      <c r="A39" s="1257">
        <v>12</v>
      </c>
      <c r="B39" s="607" t="s">
        <v>1126</v>
      </c>
      <c r="C39" s="268" t="s">
        <v>1135</v>
      </c>
      <c r="D39" s="689">
        <v>2</v>
      </c>
      <c r="E39" s="689">
        <v>1</v>
      </c>
      <c r="F39" s="1295">
        <v>15</v>
      </c>
      <c r="G39" s="1261">
        <f t="shared" si="3"/>
        <v>30</v>
      </c>
      <c r="H39" s="1261">
        <v>15</v>
      </c>
      <c r="I39" s="1261">
        <f t="shared" si="4"/>
        <v>15</v>
      </c>
      <c r="J39" s="1269">
        <v>230</v>
      </c>
      <c r="K39" s="1259">
        <f t="shared" si="5"/>
        <v>3450</v>
      </c>
      <c r="M39" s="1297"/>
    </row>
    <row r="40" spans="1:13" ht="31.5">
      <c r="A40" s="1257">
        <v>13</v>
      </c>
      <c r="B40" s="607" t="s">
        <v>1115</v>
      </c>
      <c r="C40" s="268" t="s">
        <v>1135</v>
      </c>
      <c r="D40" s="689">
        <v>1</v>
      </c>
      <c r="E40" s="689">
        <v>2</v>
      </c>
      <c r="F40" s="1295">
        <v>15</v>
      </c>
      <c r="G40" s="1261">
        <f t="shared" si="3"/>
        <v>15</v>
      </c>
      <c r="H40" s="1261">
        <v>15</v>
      </c>
      <c r="I40" s="1261">
        <f t="shared" si="4"/>
        <v>15</v>
      </c>
      <c r="J40" s="1262">
        <v>600</v>
      </c>
      <c r="K40" s="1259">
        <f t="shared" si="5"/>
        <v>9000</v>
      </c>
      <c r="M40" s="1297"/>
    </row>
    <row r="41" spans="1:13" ht="31.5">
      <c r="A41" s="1257">
        <v>14</v>
      </c>
      <c r="B41" s="607" t="s">
        <v>1127</v>
      </c>
      <c r="C41" s="268" t="s">
        <v>1135</v>
      </c>
      <c r="D41" s="689">
        <v>1</v>
      </c>
      <c r="E41" s="689">
        <v>2</v>
      </c>
      <c r="F41" s="1295">
        <v>15</v>
      </c>
      <c r="G41" s="1261">
        <f t="shared" si="3"/>
        <v>15</v>
      </c>
      <c r="H41" s="1261">
        <v>15</v>
      </c>
      <c r="I41" s="1261">
        <f t="shared" si="4"/>
        <v>15</v>
      </c>
      <c r="J41" s="1259">
        <v>300</v>
      </c>
      <c r="K41" s="1259">
        <f t="shared" si="5"/>
        <v>4500</v>
      </c>
      <c r="M41" s="1297"/>
    </row>
    <row r="42" spans="1:13" ht="31.5">
      <c r="A42" s="1257">
        <v>15</v>
      </c>
      <c r="B42" s="607" t="s">
        <v>1117</v>
      </c>
      <c r="C42" s="268" t="s">
        <v>1106</v>
      </c>
      <c r="D42" s="689">
        <v>1</v>
      </c>
      <c r="E42" s="689">
        <v>1</v>
      </c>
      <c r="F42" s="1295">
        <v>15</v>
      </c>
      <c r="G42" s="1261">
        <f t="shared" si="3"/>
        <v>15</v>
      </c>
      <c r="H42" s="1261">
        <v>15</v>
      </c>
      <c r="I42" s="1261">
        <f t="shared" si="4"/>
        <v>15</v>
      </c>
      <c r="J42" s="1263">
        <v>2800</v>
      </c>
      <c r="K42" s="1259">
        <f t="shared" si="5"/>
        <v>42000</v>
      </c>
      <c r="M42" s="1297"/>
    </row>
    <row r="43" spans="1:13" ht="31.5">
      <c r="A43" s="1257">
        <v>16</v>
      </c>
      <c r="B43" s="607" t="s">
        <v>1118</v>
      </c>
      <c r="C43" s="268" t="s">
        <v>1106</v>
      </c>
      <c r="D43" s="689">
        <v>1</v>
      </c>
      <c r="E43" s="689">
        <v>2</v>
      </c>
      <c r="F43" s="1295">
        <v>15</v>
      </c>
      <c r="G43" s="1261">
        <f t="shared" si="3"/>
        <v>15</v>
      </c>
      <c r="H43" s="1261">
        <v>15</v>
      </c>
      <c r="I43" s="1261">
        <f t="shared" si="4"/>
        <v>15</v>
      </c>
      <c r="J43" s="1263">
        <v>1890</v>
      </c>
      <c r="K43" s="1259">
        <f t="shared" si="5"/>
        <v>28350</v>
      </c>
      <c r="M43" s="1297"/>
    </row>
    <row r="44" spans="1:13" ht="15.75">
      <c r="A44" s="1257">
        <v>17</v>
      </c>
      <c r="B44" s="607" t="s">
        <v>1119</v>
      </c>
      <c r="C44" s="268" t="s">
        <v>1106</v>
      </c>
      <c r="D44" s="689">
        <v>1</v>
      </c>
      <c r="E44" s="689">
        <v>1</v>
      </c>
      <c r="F44" s="1295">
        <v>15</v>
      </c>
      <c r="G44" s="1261">
        <f t="shared" si="3"/>
        <v>15</v>
      </c>
      <c r="H44" s="1261">
        <v>15</v>
      </c>
      <c r="I44" s="1261">
        <f t="shared" si="4"/>
        <v>15</v>
      </c>
      <c r="J44" s="1262">
        <v>1050</v>
      </c>
      <c r="K44" s="1259">
        <f t="shared" si="5"/>
        <v>15750</v>
      </c>
      <c r="M44" s="1297"/>
    </row>
    <row r="45" spans="1:13" ht="15.75">
      <c r="A45" s="1257"/>
      <c r="B45" s="1264"/>
      <c r="C45" s="1265"/>
      <c r="D45" s="1266"/>
      <c r="E45" s="1266"/>
      <c r="F45" s="1267"/>
      <c r="G45" s="1267"/>
      <c r="H45" s="1267"/>
      <c r="I45" s="1267"/>
      <c r="J45" s="1268" t="s">
        <v>183</v>
      </c>
      <c r="K45" s="1260">
        <f>SUM(K28:K44)</f>
        <v>243766.55</v>
      </c>
      <c r="M45" s="1297"/>
    </row>
    <row r="46" spans="1:13" ht="15.75">
      <c r="A46" s="1257"/>
      <c r="B46" s="1903" t="s">
        <v>862</v>
      </c>
      <c r="C46" s="1904"/>
      <c r="D46" s="1904"/>
      <c r="E46" s="1904"/>
      <c r="F46" s="1904"/>
      <c r="G46" s="1904"/>
      <c r="H46" s="1904"/>
      <c r="I46" s="1904"/>
      <c r="J46" s="1905"/>
      <c r="K46" s="1260">
        <f>K26+K45</f>
        <v>655060.96</v>
      </c>
      <c r="M46" s="1297"/>
    </row>
    <row r="47" spans="1:13" ht="18.75">
      <c r="A47" s="1258"/>
      <c r="B47" s="1898" t="s">
        <v>861</v>
      </c>
      <c r="C47" s="1899"/>
      <c r="D47" s="1899"/>
      <c r="E47" s="1899"/>
      <c r="F47" s="1899"/>
      <c r="G47" s="1899"/>
      <c r="H47" s="1899"/>
      <c r="I47" s="1899"/>
      <c r="J47" s="1900"/>
      <c r="K47" s="1258"/>
      <c r="M47" s="1297"/>
    </row>
    <row r="48" spans="1:13" ht="15.75">
      <c r="A48" s="1298">
        <v>1</v>
      </c>
      <c r="B48" s="607" t="s">
        <v>863</v>
      </c>
      <c r="C48" s="268" t="s">
        <v>864</v>
      </c>
      <c r="D48" s="689">
        <v>3</v>
      </c>
      <c r="E48" s="689">
        <v>2</v>
      </c>
      <c r="F48" s="1295">
        <v>37</v>
      </c>
      <c r="G48" s="1261">
        <v>0</v>
      </c>
      <c r="H48" s="1261">
        <v>0</v>
      </c>
      <c r="I48" s="1261">
        <f t="shared" ref="I48:I62" si="6">D48*F48-G48+H48</f>
        <v>111</v>
      </c>
      <c r="J48" s="1262">
        <v>0</v>
      </c>
      <c r="K48" s="1259">
        <f t="shared" ref="K48:K62" si="7">I48*J48</f>
        <v>0</v>
      </c>
      <c r="L48" s="1300"/>
      <c r="M48" s="1300"/>
    </row>
    <row r="49" spans="1:13" ht="15.75">
      <c r="A49" s="1257">
        <f>A48+1</f>
        <v>2</v>
      </c>
      <c r="B49" s="607" t="s">
        <v>865</v>
      </c>
      <c r="C49" s="268" t="s">
        <v>864</v>
      </c>
      <c r="D49" s="689">
        <v>3</v>
      </c>
      <c r="E49" s="689">
        <v>3</v>
      </c>
      <c r="F49" s="1295">
        <v>37</v>
      </c>
      <c r="G49" s="1261">
        <v>0</v>
      </c>
      <c r="H49" s="1261">
        <v>0</v>
      </c>
      <c r="I49" s="1261">
        <f t="shared" si="6"/>
        <v>111</v>
      </c>
      <c r="J49" s="1262">
        <v>0</v>
      </c>
      <c r="K49" s="1259">
        <f t="shared" si="7"/>
        <v>0</v>
      </c>
      <c r="L49" s="1300"/>
      <c r="M49" s="1300"/>
    </row>
    <row r="50" spans="1:13" ht="31.5">
      <c r="A50" s="1257">
        <f t="shared" ref="A50:A62" si="8">A49+1</f>
        <v>3</v>
      </c>
      <c r="B50" s="607" t="s">
        <v>866</v>
      </c>
      <c r="C50" s="268" t="s">
        <v>864</v>
      </c>
      <c r="D50" s="689">
        <v>1</v>
      </c>
      <c r="E50" s="689">
        <v>5</v>
      </c>
      <c r="F50" s="1295">
        <v>37</v>
      </c>
      <c r="G50" s="1261">
        <v>0</v>
      </c>
      <c r="H50" s="1261">
        <v>0</v>
      </c>
      <c r="I50" s="1261">
        <f t="shared" si="6"/>
        <v>37</v>
      </c>
      <c r="J50" s="1262">
        <v>0</v>
      </c>
      <c r="K50" s="1259">
        <f t="shared" si="7"/>
        <v>0</v>
      </c>
    </row>
    <row r="51" spans="1:13" ht="33.75" customHeight="1">
      <c r="A51" s="1257">
        <f t="shared" si="8"/>
        <v>4</v>
      </c>
      <c r="B51" s="607" t="s">
        <v>867</v>
      </c>
      <c r="C51" s="268" t="s">
        <v>864</v>
      </c>
      <c r="D51" s="689">
        <v>3</v>
      </c>
      <c r="E51" s="689">
        <v>3</v>
      </c>
      <c r="F51" s="1295">
        <v>37</v>
      </c>
      <c r="G51" s="1261">
        <v>0</v>
      </c>
      <c r="H51" s="1261">
        <v>0</v>
      </c>
      <c r="I51" s="1261">
        <f t="shared" si="6"/>
        <v>111</v>
      </c>
      <c r="J51" s="1262">
        <v>0</v>
      </c>
      <c r="K51" s="1259">
        <f t="shared" si="7"/>
        <v>0</v>
      </c>
    </row>
    <row r="52" spans="1:13" ht="15.75">
      <c r="A52" s="1257">
        <f t="shared" si="8"/>
        <v>5</v>
      </c>
      <c r="B52" s="607" t="s">
        <v>868</v>
      </c>
      <c r="C52" s="268" t="s">
        <v>864</v>
      </c>
      <c r="D52" s="689">
        <v>4</v>
      </c>
      <c r="E52" s="689">
        <v>2</v>
      </c>
      <c r="F52" s="1295">
        <v>37</v>
      </c>
      <c r="G52" s="1261">
        <v>0</v>
      </c>
      <c r="H52" s="1261">
        <v>0</v>
      </c>
      <c r="I52" s="1261">
        <f t="shared" si="6"/>
        <v>148</v>
      </c>
      <c r="J52" s="1263">
        <v>0</v>
      </c>
      <c r="K52" s="1259">
        <f t="shared" si="7"/>
        <v>0</v>
      </c>
    </row>
    <row r="53" spans="1:13" ht="31.5">
      <c r="A53" s="1257">
        <f t="shared" si="8"/>
        <v>6</v>
      </c>
      <c r="B53" s="607" t="s">
        <v>869</v>
      </c>
      <c r="C53" s="268" t="s">
        <v>864</v>
      </c>
      <c r="D53" s="689">
        <v>3</v>
      </c>
      <c r="E53" s="689">
        <v>3</v>
      </c>
      <c r="F53" s="1295">
        <v>37</v>
      </c>
      <c r="G53" s="1261">
        <f t="shared" ref="G53:G62" si="9">D53*F53</f>
        <v>111</v>
      </c>
      <c r="H53" s="1261">
        <v>46</v>
      </c>
      <c r="I53" s="1261">
        <f t="shared" si="6"/>
        <v>46</v>
      </c>
      <c r="J53" s="1262">
        <v>320</v>
      </c>
      <c r="K53" s="1259">
        <f t="shared" si="7"/>
        <v>14720</v>
      </c>
    </row>
    <row r="54" spans="1:13" ht="31.5">
      <c r="A54" s="1257">
        <f t="shared" si="8"/>
        <v>7</v>
      </c>
      <c r="B54" s="607" t="s">
        <v>870</v>
      </c>
      <c r="C54" s="268" t="s">
        <v>864</v>
      </c>
      <c r="D54" s="689">
        <v>2</v>
      </c>
      <c r="E54" s="689">
        <v>5</v>
      </c>
      <c r="F54" s="1295">
        <v>37</v>
      </c>
      <c r="G54" s="1261">
        <f t="shared" si="9"/>
        <v>74</v>
      </c>
      <c r="H54" s="1261">
        <v>40</v>
      </c>
      <c r="I54" s="1261">
        <f t="shared" si="6"/>
        <v>40</v>
      </c>
      <c r="J54" s="1262">
        <v>1130</v>
      </c>
      <c r="K54" s="1259">
        <f t="shared" si="7"/>
        <v>45200</v>
      </c>
    </row>
    <row r="55" spans="1:13" ht="15.75">
      <c r="A55" s="1257">
        <f t="shared" si="8"/>
        <v>8</v>
      </c>
      <c r="B55" s="607" t="s">
        <v>871</v>
      </c>
      <c r="C55" s="268" t="s">
        <v>864</v>
      </c>
      <c r="D55" s="689">
        <v>1</v>
      </c>
      <c r="E55" s="689">
        <v>5</v>
      </c>
      <c r="F55" s="1295">
        <v>37</v>
      </c>
      <c r="G55" s="1261">
        <f t="shared" si="9"/>
        <v>37</v>
      </c>
      <c r="H55" s="1261">
        <v>0</v>
      </c>
      <c r="I55" s="1261">
        <f t="shared" si="6"/>
        <v>0</v>
      </c>
      <c r="J55" s="1262">
        <v>0</v>
      </c>
      <c r="K55" s="1259">
        <f t="shared" si="7"/>
        <v>0</v>
      </c>
    </row>
    <row r="56" spans="1:13" ht="15.75">
      <c r="A56" s="1257">
        <f t="shared" si="8"/>
        <v>9</v>
      </c>
      <c r="B56" s="607" t="s">
        <v>872</v>
      </c>
      <c r="C56" s="268" t="s">
        <v>864</v>
      </c>
      <c r="D56" s="689">
        <v>1</v>
      </c>
      <c r="E56" s="689">
        <v>8</v>
      </c>
      <c r="F56" s="1295">
        <v>37</v>
      </c>
      <c r="G56" s="1261">
        <f t="shared" si="9"/>
        <v>37</v>
      </c>
      <c r="H56" s="1261">
        <v>2</v>
      </c>
      <c r="I56" s="1261">
        <f t="shared" si="6"/>
        <v>2</v>
      </c>
      <c r="J56" s="1262">
        <v>1900</v>
      </c>
      <c r="K56" s="1259">
        <f t="shared" si="7"/>
        <v>3800</v>
      </c>
    </row>
    <row r="57" spans="1:13" ht="15.75">
      <c r="A57" s="1257">
        <f t="shared" si="8"/>
        <v>10</v>
      </c>
      <c r="B57" s="607" t="s">
        <v>873</v>
      </c>
      <c r="C57" s="268" t="s">
        <v>864</v>
      </c>
      <c r="D57" s="689">
        <v>1</v>
      </c>
      <c r="E57" s="689">
        <v>6</v>
      </c>
      <c r="F57" s="1295">
        <v>37</v>
      </c>
      <c r="G57" s="1261">
        <f t="shared" si="9"/>
        <v>37</v>
      </c>
      <c r="H57" s="1261">
        <v>22</v>
      </c>
      <c r="I57" s="1261">
        <f t="shared" si="6"/>
        <v>22</v>
      </c>
      <c r="J57" s="1262">
        <v>590</v>
      </c>
      <c r="K57" s="1259">
        <f t="shared" si="7"/>
        <v>12980</v>
      </c>
    </row>
    <row r="58" spans="1:13" ht="15.75">
      <c r="A58" s="1257">
        <f t="shared" si="8"/>
        <v>11</v>
      </c>
      <c r="B58" s="607" t="s">
        <v>874</v>
      </c>
      <c r="C58" s="268" t="s">
        <v>864</v>
      </c>
      <c r="D58" s="689">
        <v>1</v>
      </c>
      <c r="E58" s="689">
        <v>5</v>
      </c>
      <c r="F58" s="1295">
        <v>37</v>
      </c>
      <c r="G58" s="1261">
        <f t="shared" si="9"/>
        <v>37</v>
      </c>
      <c r="H58" s="1261">
        <v>12</v>
      </c>
      <c r="I58" s="1261">
        <f t="shared" si="6"/>
        <v>12</v>
      </c>
      <c r="J58" s="1262">
        <v>700</v>
      </c>
      <c r="K58" s="1259">
        <f t="shared" si="7"/>
        <v>8400</v>
      </c>
    </row>
    <row r="59" spans="1:13" ht="15.75">
      <c r="A59" s="1257">
        <f t="shared" si="8"/>
        <v>12</v>
      </c>
      <c r="B59" s="607" t="s">
        <v>876</v>
      </c>
      <c r="C59" s="268" t="s">
        <v>864</v>
      </c>
      <c r="D59" s="689">
        <v>2</v>
      </c>
      <c r="E59" s="689">
        <v>2</v>
      </c>
      <c r="F59" s="1295">
        <v>37</v>
      </c>
      <c r="G59" s="1261">
        <f t="shared" si="9"/>
        <v>74</v>
      </c>
      <c r="H59" s="1261">
        <v>49</v>
      </c>
      <c r="I59" s="1261">
        <f t="shared" si="6"/>
        <v>49</v>
      </c>
      <c r="J59" s="1262">
        <v>1487</v>
      </c>
      <c r="K59" s="1259">
        <f t="shared" si="7"/>
        <v>72863</v>
      </c>
    </row>
    <row r="60" spans="1:13" ht="15.75">
      <c r="A60" s="1257">
        <f t="shared" si="8"/>
        <v>13</v>
      </c>
      <c r="B60" s="607" t="s">
        <v>877</v>
      </c>
      <c r="C60" s="268" t="s">
        <v>864</v>
      </c>
      <c r="D60" s="689">
        <v>1</v>
      </c>
      <c r="E60" s="689">
        <v>7</v>
      </c>
      <c r="F60" s="1295">
        <v>37</v>
      </c>
      <c r="G60" s="1261">
        <f t="shared" si="9"/>
        <v>37</v>
      </c>
      <c r="H60" s="1261">
        <v>0</v>
      </c>
      <c r="I60" s="1261">
        <f t="shared" si="6"/>
        <v>0</v>
      </c>
      <c r="J60" s="1262">
        <v>0</v>
      </c>
      <c r="K60" s="1259">
        <f t="shared" si="7"/>
        <v>0</v>
      </c>
    </row>
    <row r="61" spans="1:13" ht="31.5">
      <c r="A61" s="1257">
        <f t="shared" si="8"/>
        <v>14</v>
      </c>
      <c r="B61" s="607" t="s">
        <v>875</v>
      </c>
      <c r="C61" s="268" t="s">
        <v>864</v>
      </c>
      <c r="D61" s="689">
        <v>1</v>
      </c>
      <c r="E61" s="689">
        <v>5</v>
      </c>
      <c r="F61" s="1295">
        <v>37</v>
      </c>
      <c r="G61" s="1261">
        <f t="shared" si="9"/>
        <v>37</v>
      </c>
      <c r="H61" s="1261">
        <v>0</v>
      </c>
      <c r="I61" s="1261">
        <f t="shared" si="6"/>
        <v>0</v>
      </c>
      <c r="J61" s="1263">
        <v>0</v>
      </c>
      <c r="K61" s="1259">
        <f t="shared" si="7"/>
        <v>0</v>
      </c>
    </row>
    <row r="62" spans="1:13" ht="31.5">
      <c r="A62" s="1257">
        <f t="shared" si="8"/>
        <v>15</v>
      </c>
      <c r="B62" s="607" t="s">
        <v>878</v>
      </c>
      <c r="C62" s="268" t="s">
        <v>864</v>
      </c>
      <c r="D62" s="689">
        <v>1</v>
      </c>
      <c r="E62" s="689">
        <v>7</v>
      </c>
      <c r="F62" s="1295">
        <v>37</v>
      </c>
      <c r="G62" s="1261">
        <f t="shared" si="9"/>
        <v>37</v>
      </c>
      <c r="H62" s="1261">
        <v>0</v>
      </c>
      <c r="I62" s="1261">
        <f t="shared" si="6"/>
        <v>0</v>
      </c>
      <c r="J62" s="1263">
        <v>0</v>
      </c>
      <c r="K62" s="1259">
        <f t="shared" si="7"/>
        <v>0</v>
      </c>
    </row>
    <row r="63" spans="1:13" ht="15.75">
      <c r="A63" s="1257"/>
      <c r="B63" s="1264"/>
      <c r="C63" s="1265"/>
      <c r="D63" s="1266"/>
      <c r="E63" s="1266"/>
      <c r="F63" s="1267"/>
      <c r="G63" s="1267"/>
      <c r="H63" s="1267"/>
      <c r="I63" s="1267"/>
      <c r="J63" s="1268" t="s">
        <v>183</v>
      </c>
      <c r="K63" s="1260">
        <f>SUM(K47:K62)</f>
        <v>157963</v>
      </c>
    </row>
    <row r="64" spans="1:13" ht="15.75">
      <c r="A64" s="1257"/>
      <c r="B64" s="1264"/>
      <c r="C64" s="1265"/>
      <c r="D64" s="1266"/>
      <c r="E64" s="1266"/>
      <c r="F64" s="1267"/>
      <c r="G64" s="1267"/>
      <c r="H64" s="1267"/>
      <c r="I64" s="1901" t="s">
        <v>879</v>
      </c>
      <c r="J64" s="1902"/>
      <c r="K64" s="1260">
        <f>K46+K63</f>
        <v>813023.96</v>
      </c>
    </row>
    <row r="65" spans="1:11" ht="15.75">
      <c r="A65" s="1299"/>
      <c r="B65" s="1299"/>
      <c r="C65" s="1299"/>
      <c r="D65" s="1299"/>
      <c r="E65" s="1299"/>
      <c r="F65" s="1299"/>
      <c r="G65" s="1299"/>
      <c r="H65" s="1299"/>
      <c r="I65" s="1299"/>
      <c r="J65" s="1299"/>
      <c r="K65" s="1299"/>
    </row>
    <row r="66" spans="1:11" ht="15.75">
      <c r="A66" s="1300"/>
      <c r="B66" s="791" t="s">
        <v>1077</v>
      </c>
      <c r="C66" s="1301"/>
      <c r="D66" s="1302"/>
      <c r="E66" s="1301"/>
      <c r="F66" s="1301"/>
      <c r="G66" s="1303"/>
      <c r="H66" s="1301"/>
      <c r="I66" s="1301"/>
      <c r="J66" s="1300"/>
      <c r="K66" s="1302" t="s">
        <v>729</v>
      </c>
    </row>
    <row r="67" spans="1:11" ht="31.5">
      <c r="A67" s="1300"/>
      <c r="B67" s="1304"/>
      <c r="C67" s="1305"/>
      <c r="D67" s="1306" t="s">
        <v>1078</v>
      </c>
      <c r="E67" s="1306"/>
      <c r="F67" s="1307"/>
      <c r="G67" s="1308"/>
      <c r="H67" s="1309"/>
      <c r="I67" s="1309"/>
      <c r="J67" s="1307"/>
      <c r="K67" s="1310" t="s">
        <v>1079</v>
      </c>
    </row>
    <row r="68" spans="1:11" ht="15.75">
      <c r="A68" s="1300"/>
      <c r="B68" s="1311" t="s">
        <v>1076</v>
      </c>
      <c r="C68" s="1301"/>
      <c r="D68" s="1312"/>
      <c r="E68" s="1313"/>
      <c r="F68" s="1313"/>
      <c r="G68" s="1310"/>
      <c r="H68" s="1313"/>
      <c r="I68" s="1313"/>
      <c r="J68" s="1307"/>
      <c r="K68" s="1312" t="s">
        <v>730</v>
      </c>
    </row>
    <row r="69" spans="1:11" ht="31.5">
      <c r="A69" s="1300"/>
      <c r="B69" s="1304"/>
      <c r="C69" s="1305"/>
      <c r="D69" s="1309" t="s">
        <v>1078</v>
      </c>
      <c r="E69" s="1306"/>
      <c r="F69" s="1307"/>
      <c r="G69" s="1308"/>
      <c r="H69" s="1309"/>
      <c r="I69" s="1309"/>
      <c r="J69" s="1307"/>
      <c r="K69" s="1310" t="s">
        <v>1079</v>
      </c>
    </row>
    <row r="70" spans="1:11" ht="15.75">
      <c r="A70" s="1314"/>
      <c r="B70" s="1314"/>
      <c r="C70" s="1314"/>
      <c r="D70" s="1314"/>
      <c r="E70" s="1314"/>
      <c r="F70" s="1314"/>
      <c r="G70" s="1314"/>
      <c r="H70" s="1314"/>
      <c r="I70" s="1315"/>
      <c r="J70" s="1315"/>
      <c r="K70" s="1315"/>
    </row>
    <row r="71" spans="1:11" ht="15.75">
      <c r="A71" s="1315"/>
      <c r="B71" s="1315"/>
      <c r="C71" s="1315"/>
      <c r="D71" s="1315"/>
      <c r="E71" s="1315"/>
      <c r="F71" s="1315"/>
      <c r="G71" s="1315"/>
      <c r="H71" s="1315"/>
      <c r="I71" s="1315"/>
      <c r="J71" s="1315"/>
      <c r="K71" s="1315"/>
    </row>
    <row r="72" spans="1:11">
      <c r="A72" s="1316"/>
      <c r="B72" s="1316"/>
      <c r="C72" s="1316"/>
      <c r="D72" s="1317"/>
      <c r="E72" s="1316"/>
    </row>
  </sheetData>
  <mergeCells count="17">
    <mergeCell ref="E4:G4"/>
    <mergeCell ref="B9:J9"/>
    <mergeCell ref="A3:K3"/>
    <mergeCell ref="A5:K5"/>
    <mergeCell ref="A6:A7"/>
    <mergeCell ref="B6:B7"/>
    <mergeCell ref="C6:C7"/>
    <mergeCell ref="D6:D7"/>
    <mergeCell ref="E6:E7"/>
    <mergeCell ref="F6:F7"/>
    <mergeCell ref="G6:H6"/>
    <mergeCell ref="I6:K6"/>
    <mergeCell ref="B47:J47"/>
    <mergeCell ref="I64:J64"/>
    <mergeCell ref="B46:J46"/>
    <mergeCell ref="B26:J26"/>
    <mergeCell ref="B27:J27"/>
  </mergeCells>
  <phoneticPr fontId="116" type="noConversion"/>
  <pageMargins left="0.7" right="0.7" top="0.75" bottom="0.75" header="0.3" footer="0.3"/>
  <pageSetup paperSize="9" scale="75" orientation="portrait" r:id="rId1"/>
</worksheet>
</file>

<file path=xl/worksheets/sheet44.xml><?xml version="1.0" encoding="utf-8"?>
<worksheet xmlns="http://schemas.openxmlformats.org/spreadsheetml/2006/main" xmlns:r="http://schemas.openxmlformats.org/officeDocument/2006/relationships">
  <sheetPr>
    <tabColor theme="6" tint="-0.499984740745262"/>
  </sheetPr>
  <dimension ref="A1:M72"/>
  <sheetViews>
    <sheetView view="pageBreakPreview" topLeftCell="A52" zoomScaleNormal="100" zoomScaleSheetLayoutView="100" workbookViewId="0">
      <selection activeCell="J56" sqref="J56"/>
    </sheetView>
  </sheetViews>
  <sheetFormatPr defaultRowHeight="15"/>
  <cols>
    <col min="1" max="1" width="3.140625" style="1272" customWidth="1"/>
    <col min="2" max="2" width="18.42578125" style="1272" customWidth="1"/>
    <col min="3" max="3" width="9.140625" style="1272"/>
    <col min="4" max="9" width="9.28515625" style="1272" bestFit="1" customWidth="1"/>
    <col min="10" max="10" width="10.140625" style="1272" bestFit="1" customWidth="1"/>
    <col min="11" max="11" width="15.85546875" style="1272" customWidth="1"/>
    <col min="12" max="16384" width="9.140625" style="1272"/>
  </cols>
  <sheetData>
    <row r="1" spans="1:13" ht="15.75">
      <c r="A1" s="1287"/>
      <c r="B1" s="1287"/>
      <c r="C1" s="1287"/>
      <c r="D1" s="1287"/>
      <c r="E1" s="1287"/>
      <c r="F1" s="1287"/>
      <c r="G1" s="1287"/>
      <c r="H1" s="1287"/>
      <c r="I1" s="1287"/>
      <c r="J1" s="1287"/>
      <c r="K1" s="785" t="s">
        <v>964</v>
      </c>
    </row>
    <row r="2" spans="1:13" ht="15.75">
      <c r="A2" s="1287"/>
      <c r="B2" s="1287"/>
      <c r="C2" s="1287"/>
      <c r="D2" s="1287"/>
      <c r="E2" s="1287"/>
      <c r="F2" s="1287"/>
      <c r="G2" s="1287"/>
      <c r="H2" s="1287"/>
      <c r="I2" s="1287"/>
      <c r="J2" s="1287"/>
      <c r="K2" s="785"/>
    </row>
    <row r="3" spans="1:13" ht="15.75">
      <c r="A3" s="1910" t="s">
        <v>1722</v>
      </c>
      <c r="B3" s="1910"/>
      <c r="C3" s="1910"/>
      <c r="D3" s="1910"/>
      <c r="E3" s="1910"/>
      <c r="F3" s="1910"/>
      <c r="G3" s="1910"/>
      <c r="H3" s="1910"/>
      <c r="I3" s="1910"/>
      <c r="J3" s="1910"/>
      <c r="K3" s="1910"/>
    </row>
    <row r="4" spans="1:13" ht="15.75">
      <c r="A4" s="1288"/>
      <c r="B4" s="1288"/>
      <c r="C4" s="1288"/>
      <c r="D4" s="1288"/>
      <c r="E4" s="1910" t="s">
        <v>860</v>
      </c>
      <c r="F4" s="1910"/>
      <c r="G4" s="1910"/>
      <c r="H4" s="1288"/>
      <c r="I4" s="1288"/>
      <c r="J4" s="1288"/>
      <c r="K4" s="1288"/>
    </row>
    <row r="5" spans="1:13" ht="15.75">
      <c r="A5" s="1911"/>
      <c r="B5" s="1911"/>
      <c r="C5" s="1911"/>
      <c r="D5" s="1911"/>
      <c r="E5" s="1911"/>
      <c r="F5" s="1911"/>
      <c r="G5" s="1911"/>
      <c r="H5" s="1911"/>
      <c r="I5" s="1911"/>
      <c r="J5" s="1911"/>
      <c r="K5" s="1911"/>
    </row>
    <row r="6" spans="1:13" ht="34.5" customHeight="1">
      <c r="A6" s="1912" t="s">
        <v>1267</v>
      </c>
      <c r="B6" s="1912" t="s">
        <v>224</v>
      </c>
      <c r="C6" s="1912" t="s">
        <v>1305</v>
      </c>
      <c r="D6" s="1912" t="s">
        <v>225</v>
      </c>
      <c r="E6" s="1912" t="s">
        <v>1031</v>
      </c>
      <c r="F6" s="1912" t="s">
        <v>226</v>
      </c>
      <c r="G6" s="1894" t="s">
        <v>227</v>
      </c>
      <c r="H6" s="1895"/>
      <c r="I6" s="1896" t="s">
        <v>731</v>
      </c>
      <c r="J6" s="1897"/>
      <c r="K6" s="1897"/>
    </row>
    <row r="7" spans="1:13" ht="94.5">
      <c r="A7" s="1913"/>
      <c r="B7" s="1913"/>
      <c r="C7" s="1913"/>
      <c r="D7" s="1913"/>
      <c r="E7" s="1913"/>
      <c r="F7" s="1913"/>
      <c r="G7" s="1289" t="s">
        <v>66</v>
      </c>
      <c r="H7" s="1290" t="s">
        <v>732</v>
      </c>
      <c r="I7" s="1291" t="s">
        <v>1032</v>
      </c>
      <c r="J7" s="1291" t="s">
        <v>228</v>
      </c>
      <c r="K7" s="1291" t="s">
        <v>1033</v>
      </c>
    </row>
    <row r="8" spans="1:13" ht="15.75">
      <c r="A8" s="1292">
        <v>1</v>
      </c>
      <c r="B8" s="1293">
        <v>2</v>
      </c>
      <c r="C8" s="1293">
        <v>3</v>
      </c>
      <c r="D8" s="1293">
        <v>4</v>
      </c>
      <c r="E8" s="1293">
        <v>5</v>
      </c>
      <c r="F8" s="1294">
        <v>6</v>
      </c>
      <c r="G8" s="1289">
        <v>7</v>
      </c>
      <c r="H8" s="1290">
        <v>8</v>
      </c>
      <c r="I8" s="1291">
        <v>9</v>
      </c>
      <c r="J8" s="1291">
        <v>10</v>
      </c>
      <c r="K8" s="1291">
        <v>11</v>
      </c>
    </row>
    <row r="9" spans="1:13" ht="18.75">
      <c r="A9" s="1258"/>
      <c r="B9" s="1909" t="s">
        <v>1101</v>
      </c>
      <c r="C9" s="1909"/>
      <c r="D9" s="1909"/>
      <c r="E9" s="1909"/>
      <c r="F9" s="1909"/>
      <c r="G9" s="1909"/>
      <c r="H9" s="1909"/>
      <c r="I9" s="1909"/>
      <c r="J9" s="1909"/>
      <c r="K9" s="1258"/>
    </row>
    <row r="10" spans="1:13" ht="31.5">
      <c r="A10" s="1257">
        <v>1</v>
      </c>
      <c r="B10" s="607" t="s">
        <v>1102</v>
      </c>
      <c r="C10" s="268" t="s">
        <v>1135</v>
      </c>
      <c r="D10" s="689">
        <v>1</v>
      </c>
      <c r="E10" s="689">
        <v>2</v>
      </c>
      <c r="F10" s="1295">
        <v>21</v>
      </c>
      <c r="G10" s="1261">
        <v>0</v>
      </c>
      <c r="H10" s="1296">
        <v>0</v>
      </c>
      <c r="I10" s="1261">
        <f t="shared" ref="I10:I25" si="0">D10*F10-G10+H10</f>
        <v>21</v>
      </c>
      <c r="J10" s="1259">
        <v>2500</v>
      </c>
      <c r="K10" s="1259">
        <f>I10*J10</f>
        <v>52500</v>
      </c>
      <c r="M10" s="1297"/>
    </row>
    <row r="11" spans="1:13" ht="42" customHeight="1">
      <c r="A11" s="1257">
        <v>2</v>
      </c>
      <c r="B11" s="607" t="s">
        <v>1103</v>
      </c>
      <c r="C11" s="268" t="s">
        <v>1135</v>
      </c>
      <c r="D11" s="689">
        <v>1</v>
      </c>
      <c r="E11" s="689">
        <v>2</v>
      </c>
      <c r="F11" s="1295">
        <v>21</v>
      </c>
      <c r="G11" s="1261">
        <v>0</v>
      </c>
      <c r="H11" s="1296">
        <v>0</v>
      </c>
      <c r="I11" s="1261">
        <f t="shared" si="0"/>
        <v>21</v>
      </c>
      <c r="J11" s="1259">
        <v>1500</v>
      </c>
      <c r="K11" s="1259">
        <f t="shared" ref="K11:K25" si="1">I11*J11</f>
        <v>31500</v>
      </c>
      <c r="M11" s="1297"/>
    </row>
    <row r="12" spans="1:13" ht="15.75">
      <c r="A12" s="1257">
        <v>3</v>
      </c>
      <c r="B12" s="607" t="s">
        <v>1104</v>
      </c>
      <c r="C12" s="268" t="s">
        <v>1135</v>
      </c>
      <c r="D12" s="689">
        <v>1</v>
      </c>
      <c r="E12" s="689">
        <v>3</v>
      </c>
      <c r="F12" s="1295">
        <v>21</v>
      </c>
      <c r="G12" s="1261">
        <v>0</v>
      </c>
      <c r="H12" s="1261">
        <v>0</v>
      </c>
      <c r="I12" s="1261">
        <f t="shared" si="0"/>
        <v>21</v>
      </c>
      <c r="J12" s="1259">
        <v>200</v>
      </c>
      <c r="K12" s="1259">
        <f t="shared" si="1"/>
        <v>4200</v>
      </c>
      <c r="M12" s="1297"/>
    </row>
    <row r="13" spans="1:13" ht="44.25" customHeight="1">
      <c r="A13" s="1257">
        <v>4</v>
      </c>
      <c r="B13" s="607" t="s">
        <v>1105</v>
      </c>
      <c r="C13" s="268" t="s">
        <v>1106</v>
      </c>
      <c r="D13" s="689">
        <v>2</v>
      </c>
      <c r="E13" s="689">
        <v>1</v>
      </c>
      <c r="F13" s="1295">
        <v>21</v>
      </c>
      <c r="G13" s="1261">
        <v>0</v>
      </c>
      <c r="H13" s="1261">
        <v>21</v>
      </c>
      <c r="I13" s="1261">
        <f t="shared" si="0"/>
        <v>63</v>
      </c>
      <c r="J13" s="1259">
        <v>150.69999999999999</v>
      </c>
      <c r="K13" s="1259">
        <f t="shared" si="1"/>
        <v>9494.0999999999985</v>
      </c>
      <c r="M13" s="1297"/>
    </row>
    <row r="14" spans="1:13" ht="15.75">
      <c r="A14" s="1257">
        <v>5</v>
      </c>
      <c r="B14" s="607" t="s">
        <v>1107</v>
      </c>
      <c r="C14" s="268" t="s">
        <v>1135</v>
      </c>
      <c r="D14" s="689">
        <v>1</v>
      </c>
      <c r="E14" s="689">
        <v>2</v>
      </c>
      <c r="F14" s="1295">
        <v>21</v>
      </c>
      <c r="G14" s="1261">
        <v>10</v>
      </c>
      <c r="H14" s="1261">
        <v>0</v>
      </c>
      <c r="I14" s="1261">
        <f t="shared" si="0"/>
        <v>11</v>
      </c>
      <c r="J14" s="1259">
        <v>1040.71</v>
      </c>
      <c r="K14" s="1259">
        <f t="shared" si="1"/>
        <v>11447.810000000001</v>
      </c>
      <c r="M14" s="1297"/>
    </row>
    <row r="15" spans="1:13" ht="47.25">
      <c r="A15" s="1257">
        <v>6</v>
      </c>
      <c r="B15" s="607" t="s">
        <v>1108</v>
      </c>
      <c r="C15" s="268" t="s">
        <v>1109</v>
      </c>
      <c r="D15" s="689">
        <v>2</v>
      </c>
      <c r="E15" s="689">
        <v>2</v>
      </c>
      <c r="F15" s="1295">
        <v>21</v>
      </c>
      <c r="G15" s="1261">
        <v>10</v>
      </c>
      <c r="H15" s="1261">
        <v>0</v>
      </c>
      <c r="I15" s="1261">
        <f t="shared" si="0"/>
        <v>32</v>
      </c>
      <c r="J15" s="1259">
        <v>1500</v>
      </c>
      <c r="K15" s="1259">
        <f t="shared" si="1"/>
        <v>48000</v>
      </c>
      <c r="M15" s="1297"/>
    </row>
    <row r="16" spans="1:13" ht="47.25">
      <c r="A16" s="1257">
        <v>7</v>
      </c>
      <c r="B16" s="607" t="s">
        <v>1110</v>
      </c>
      <c r="C16" s="268" t="s">
        <v>1135</v>
      </c>
      <c r="D16" s="689">
        <v>2</v>
      </c>
      <c r="E16" s="689">
        <v>1</v>
      </c>
      <c r="F16" s="1295">
        <v>21</v>
      </c>
      <c r="G16" s="1261">
        <v>42</v>
      </c>
      <c r="H16" s="1261">
        <v>42</v>
      </c>
      <c r="I16" s="1261">
        <f t="shared" si="0"/>
        <v>42</v>
      </c>
      <c r="J16" s="1259">
        <v>1200</v>
      </c>
      <c r="K16" s="1259">
        <f t="shared" si="1"/>
        <v>50400</v>
      </c>
      <c r="M16" s="1297"/>
    </row>
    <row r="17" spans="1:13" ht="31.5">
      <c r="A17" s="1257">
        <v>8</v>
      </c>
      <c r="B17" s="607" t="s">
        <v>1111</v>
      </c>
      <c r="C17" s="268" t="s">
        <v>1109</v>
      </c>
      <c r="D17" s="689">
        <v>2</v>
      </c>
      <c r="E17" s="689">
        <v>2</v>
      </c>
      <c r="F17" s="1295">
        <v>21</v>
      </c>
      <c r="G17" s="1261">
        <v>21</v>
      </c>
      <c r="H17" s="1261">
        <v>0</v>
      </c>
      <c r="I17" s="1261">
        <f t="shared" si="0"/>
        <v>21</v>
      </c>
      <c r="J17" s="1259">
        <v>800</v>
      </c>
      <c r="K17" s="1259">
        <f t="shared" si="1"/>
        <v>16800</v>
      </c>
      <c r="M17" s="1297"/>
    </row>
    <row r="18" spans="1:13" ht="31.5">
      <c r="A18" s="1257">
        <v>9</v>
      </c>
      <c r="B18" s="607" t="s">
        <v>1112</v>
      </c>
      <c r="C18" s="268" t="s">
        <v>1135</v>
      </c>
      <c r="D18" s="689">
        <v>4</v>
      </c>
      <c r="E18" s="689">
        <v>1</v>
      </c>
      <c r="F18" s="1295">
        <v>21</v>
      </c>
      <c r="G18" s="1261">
        <v>63</v>
      </c>
      <c r="H18" s="1261">
        <v>42</v>
      </c>
      <c r="I18" s="1261">
        <f t="shared" si="0"/>
        <v>63</v>
      </c>
      <c r="J18" s="1259">
        <v>432.59</v>
      </c>
      <c r="K18" s="1259">
        <f t="shared" si="1"/>
        <v>27253.17</v>
      </c>
      <c r="M18" s="1297"/>
    </row>
    <row r="19" spans="1:13" ht="15.75">
      <c r="A19" s="1257">
        <v>10</v>
      </c>
      <c r="B19" s="607" t="s">
        <v>1113</v>
      </c>
      <c r="C19" s="268" t="s">
        <v>1135</v>
      </c>
      <c r="D19" s="689">
        <v>2</v>
      </c>
      <c r="E19" s="689">
        <v>1</v>
      </c>
      <c r="F19" s="1295">
        <v>21</v>
      </c>
      <c r="G19" s="1261">
        <v>0</v>
      </c>
      <c r="H19" s="1261">
        <v>21</v>
      </c>
      <c r="I19" s="1261">
        <f t="shared" si="0"/>
        <v>63</v>
      </c>
      <c r="J19" s="1259">
        <v>200</v>
      </c>
      <c r="K19" s="1259">
        <f t="shared" si="1"/>
        <v>12600</v>
      </c>
      <c r="M19" s="1297"/>
    </row>
    <row r="20" spans="1:13" ht="47.25">
      <c r="A20" s="1257">
        <v>11</v>
      </c>
      <c r="B20" s="607" t="s">
        <v>1114</v>
      </c>
      <c r="C20" s="268" t="s">
        <v>1135</v>
      </c>
      <c r="D20" s="689">
        <v>4</v>
      </c>
      <c r="E20" s="689">
        <v>1</v>
      </c>
      <c r="F20" s="1295">
        <v>21</v>
      </c>
      <c r="G20" s="1261">
        <v>0</v>
      </c>
      <c r="H20" s="1261">
        <v>84</v>
      </c>
      <c r="I20" s="1261">
        <f t="shared" si="0"/>
        <v>168</v>
      </c>
      <c r="J20" s="1259">
        <v>230</v>
      </c>
      <c r="K20" s="1259">
        <f t="shared" si="1"/>
        <v>38640</v>
      </c>
      <c r="M20" s="1297"/>
    </row>
    <row r="21" spans="1:13" ht="31.5">
      <c r="A21" s="1257">
        <v>12</v>
      </c>
      <c r="B21" s="607" t="s">
        <v>1115</v>
      </c>
      <c r="C21" s="268" t="s">
        <v>1135</v>
      </c>
      <c r="D21" s="689">
        <v>1</v>
      </c>
      <c r="E21" s="689">
        <v>2</v>
      </c>
      <c r="F21" s="1295">
        <v>21</v>
      </c>
      <c r="G21" s="1261">
        <v>0</v>
      </c>
      <c r="H21" s="1261">
        <v>0</v>
      </c>
      <c r="I21" s="1261">
        <f t="shared" si="0"/>
        <v>21</v>
      </c>
      <c r="J21" s="1259">
        <v>500</v>
      </c>
      <c r="K21" s="1259">
        <f t="shared" si="1"/>
        <v>10500</v>
      </c>
      <c r="M21" s="1297"/>
    </row>
    <row r="22" spans="1:13" ht="39" customHeight="1">
      <c r="A22" s="1257">
        <v>13</v>
      </c>
      <c r="B22" s="607" t="s">
        <v>1116</v>
      </c>
      <c r="C22" s="268" t="s">
        <v>1135</v>
      </c>
      <c r="D22" s="689">
        <v>1</v>
      </c>
      <c r="E22" s="689">
        <v>2</v>
      </c>
      <c r="F22" s="1295">
        <v>21</v>
      </c>
      <c r="G22" s="1261">
        <v>0</v>
      </c>
      <c r="H22" s="1261">
        <v>0</v>
      </c>
      <c r="I22" s="1261">
        <f t="shared" si="0"/>
        <v>21</v>
      </c>
      <c r="J22" s="1259">
        <v>300</v>
      </c>
      <c r="K22" s="1259">
        <f t="shared" si="1"/>
        <v>6300</v>
      </c>
      <c r="M22" s="1297"/>
    </row>
    <row r="23" spans="1:13" ht="42" customHeight="1">
      <c r="A23" s="1257">
        <v>14</v>
      </c>
      <c r="B23" s="607" t="s">
        <v>1117</v>
      </c>
      <c r="C23" s="268" t="s">
        <v>1106</v>
      </c>
      <c r="D23" s="689">
        <v>1</v>
      </c>
      <c r="E23" s="689">
        <v>1</v>
      </c>
      <c r="F23" s="1295">
        <v>21</v>
      </c>
      <c r="G23" s="1261">
        <v>21</v>
      </c>
      <c r="H23" s="1261">
        <v>21</v>
      </c>
      <c r="I23" s="1261">
        <f t="shared" si="0"/>
        <v>21</v>
      </c>
      <c r="J23" s="1259">
        <v>1800</v>
      </c>
      <c r="K23" s="1259">
        <f t="shared" si="1"/>
        <v>37800</v>
      </c>
      <c r="M23" s="1297"/>
    </row>
    <row r="24" spans="1:13" ht="31.5">
      <c r="A24" s="1257">
        <v>15</v>
      </c>
      <c r="B24" s="607" t="s">
        <v>1118</v>
      </c>
      <c r="C24" s="268" t="s">
        <v>1106</v>
      </c>
      <c r="D24" s="689">
        <v>1</v>
      </c>
      <c r="E24" s="689">
        <v>2</v>
      </c>
      <c r="F24" s="1295">
        <v>21</v>
      </c>
      <c r="G24" s="1261">
        <v>0</v>
      </c>
      <c r="H24" s="1261">
        <v>0</v>
      </c>
      <c r="I24" s="1261">
        <f t="shared" si="0"/>
        <v>21</v>
      </c>
      <c r="J24" s="1259">
        <v>1000</v>
      </c>
      <c r="K24" s="1259">
        <f t="shared" si="1"/>
        <v>21000</v>
      </c>
      <c r="M24" s="1297"/>
    </row>
    <row r="25" spans="1:13" ht="15.75">
      <c r="A25" s="1257">
        <v>16</v>
      </c>
      <c r="B25" s="607" t="s">
        <v>1119</v>
      </c>
      <c r="C25" s="268" t="s">
        <v>1106</v>
      </c>
      <c r="D25" s="689">
        <v>1</v>
      </c>
      <c r="E25" s="689">
        <v>1</v>
      </c>
      <c r="F25" s="1295">
        <v>21</v>
      </c>
      <c r="G25" s="1261">
        <v>0</v>
      </c>
      <c r="H25" s="1261">
        <v>21</v>
      </c>
      <c r="I25" s="1261">
        <f t="shared" si="0"/>
        <v>42</v>
      </c>
      <c r="J25" s="1259">
        <v>650</v>
      </c>
      <c r="K25" s="1259">
        <f t="shared" si="1"/>
        <v>27300</v>
      </c>
      <c r="M25" s="1297"/>
    </row>
    <row r="26" spans="1:13" ht="15.75">
      <c r="A26" s="1298"/>
      <c r="B26" s="1914" t="s">
        <v>183</v>
      </c>
      <c r="C26" s="1915"/>
      <c r="D26" s="1915"/>
      <c r="E26" s="1915"/>
      <c r="F26" s="1915"/>
      <c r="G26" s="1915"/>
      <c r="H26" s="1915"/>
      <c r="I26" s="1915"/>
      <c r="J26" s="1916"/>
      <c r="K26" s="1260">
        <f>SUM(K10:K25)</f>
        <v>405735.08</v>
      </c>
      <c r="M26" s="1297"/>
    </row>
    <row r="27" spans="1:13" ht="18.75">
      <c r="A27" s="1258"/>
      <c r="B27" s="1909" t="s">
        <v>1120</v>
      </c>
      <c r="C27" s="1909"/>
      <c r="D27" s="1909"/>
      <c r="E27" s="1909"/>
      <c r="F27" s="1909"/>
      <c r="G27" s="1909"/>
      <c r="H27" s="1909"/>
      <c r="I27" s="1909"/>
      <c r="J27" s="1909"/>
      <c r="K27" s="1258"/>
      <c r="M27" s="1297"/>
    </row>
    <row r="28" spans="1:13" ht="31.5">
      <c r="A28" s="1298">
        <v>1</v>
      </c>
      <c r="B28" s="607" t="s">
        <v>1102</v>
      </c>
      <c r="C28" s="268" t="s">
        <v>1135</v>
      </c>
      <c r="D28" s="689">
        <v>1</v>
      </c>
      <c r="E28" s="689">
        <v>2</v>
      </c>
      <c r="F28" s="1295">
        <v>16</v>
      </c>
      <c r="G28" s="1261">
        <v>0</v>
      </c>
      <c r="H28" s="1261">
        <v>0</v>
      </c>
      <c r="I28" s="1261">
        <f t="shared" ref="I28:I44" si="2">D28*F28-G28+H28</f>
        <v>16</v>
      </c>
      <c r="J28" s="1262">
        <v>2500</v>
      </c>
      <c r="K28" s="1259">
        <f t="shared" ref="K28:K44" si="3">I28*J28</f>
        <v>40000</v>
      </c>
      <c r="M28" s="1297"/>
    </row>
    <row r="29" spans="1:13" ht="31.5">
      <c r="A29" s="1257">
        <v>2</v>
      </c>
      <c r="B29" s="607" t="s">
        <v>1103</v>
      </c>
      <c r="C29" s="268" t="s">
        <v>1135</v>
      </c>
      <c r="D29" s="689">
        <v>1</v>
      </c>
      <c r="E29" s="689">
        <v>2</v>
      </c>
      <c r="F29" s="1295">
        <v>16</v>
      </c>
      <c r="G29" s="1261">
        <v>0</v>
      </c>
      <c r="H29" s="1261">
        <v>0</v>
      </c>
      <c r="I29" s="1261">
        <f t="shared" si="2"/>
        <v>16</v>
      </c>
      <c r="J29" s="1269">
        <v>1500</v>
      </c>
      <c r="K29" s="1259">
        <f t="shared" si="3"/>
        <v>24000</v>
      </c>
      <c r="M29" s="1297"/>
    </row>
    <row r="30" spans="1:13" ht="15.75">
      <c r="A30" s="1257">
        <v>3</v>
      </c>
      <c r="B30" s="607" t="s">
        <v>1104</v>
      </c>
      <c r="C30" s="268" t="s">
        <v>1135</v>
      </c>
      <c r="D30" s="689">
        <v>1</v>
      </c>
      <c r="E30" s="689">
        <v>3</v>
      </c>
      <c r="F30" s="1295">
        <v>16</v>
      </c>
      <c r="G30" s="1261">
        <v>16</v>
      </c>
      <c r="H30" s="1261">
        <v>0</v>
      </c>
      <c r="I30" s="1261">
        <f t="shared" si="2"/>
        <v>0</v>
      </c>
      <c r="J30" s="1262">
        <v>200</v>
      </c>
      <c r="K30" s="1259">
        <f t="shared" si="3"/>
        <v>0</v>
      </c>
      <c r="M30" s="1297"/>
    </row>
    <row r="31" spans="1:13" ht="31.5">
      <c r="A31" s="1257">
        <v>4</v>
      </c>
      <c r="B31" s="607" t="s">
        <v>1121</v>
      </c>
      <c r="C31" s="268" t="s">
        <v>1106</v>
      </c>
      <c r="D31" s="689">
        <v>2</v>
      </c>
      <c r="E31" s="689">
        <v>1</v>
      </c>
      <c r="F31" s="1295">
        <v>16</v>
      </c>
      <c r="G31" s="1261">
        <v>0</v>
      </c>
      <c r="H31" s="1261">
        <v>16</v>
      </c>
      <c r="I31" s="1261">
        <f t="shared" si="2"/>
        <v>48</v>
      </c>
      <c r="J31" s="1262">
        <v>150.69999999999999</v>
      </c>
      <c r="K31" s="1259">
        <f t="shared" si="3"/>
        <v>7233.5999999999995</v>
      </c>
      <c r="M31" s="1297"/>
    </row>
    <row r="32" spans="1:13" ht="15.75">
      <c r="A32" s="1257">
        <v>5</v>
      </c>
      <c r="B32" s="607" t="s">
        <v>1107</v>
      </c>
      <c r="C32" s="268" t="s">
        <v>1135</v>
      </c>
      <c r="D32" s="689">
        <v>1</v>
      </c>
      <c r="E32" s="689">
        <v>2</v>
      </c>
      <c r="F32" s="1295">
        <v>16</v>
      </c>
      <c r="G32" s="1261">
        <v>0</v>
      </c>
      <c r="H32" s="1261">
        <v>0</v>
      </c>
      <c r="I32" s="1261">
        <f t="shared" si="2"/>
        <v>16</v>
      </c>
      <c r="J32" s="1263">
        <v>1040.71</v>
      </c>
      <c r="K32" s="1259">
        <f t="shared" si="3"/>
        <v>16651.36</v>
      </c>
      <c r="M32" s="1297"/>
    </row>
    <row r="33" spans="1:13" ht="47.25">
      <c r="A33" s="1257">
        <v>6</v>
      </c>
      <c r="B33" s="607" t="s">
        <v>1108</v>
      </c>
      <c r="C33" s="268" t="s">
        <v>1109</v>
      </c>
      <c r="D33" s="689">
        <v>2</v>
      </c>
      <c r="E33" s="689">
        <v>2</v>
      </c>
      <c r="F33" s="1295">
        <v>16</v>
      </c>
      <c r="G33" s="1261">
        <v>0</v>
      </c>
      <c r="H33" s="1261">
        <v>0</v>
      </c>
      <c r="I33" s="1261">
        <f t="shared" si="2"/>
        <v>32</v>
      </c>
      <c r="J33" s="1262">
        <v>1500</v>
      </c>
      <c r="K33" s="1259">
        <f t="shared" si="3"/>
        <v>48000</v>
      </c>
      <c r="M33" s="1297"/>
    </row>
    <row r="34" spans="1:13" ht="47.25">
      <c r="A34" s="1257">
        <v>7</v>
      </c>
      <c r="B34" s="607" t="s">
        <v>1122</v>
      </c>
      <c r="C34" s="268" t="s">
        <v>1135</v>
      </c>
      <c r="D34" s="689">
        <v>2</v>
      </c>
      <c r="E34" s="689">
        <v>1</v>
      </c>
      <c r="F34" s="1295">
        <v>16</v>
      </c>
      <c r="G34" s="1261">
        <v>32</v>
      </c>
      <c r="H34" s="1261">
        <v>32</v>
      </c>
      <c r="I34" s="1261">
        <f t="shared" si="2"/>
        <v>32</v>
      </c>
      <c r="J34" s="1269">
        <v>1161.4100000000001</v>
      </c>
      <c r="K34" s="1259">
        <f t="shared" si="3"/>
        <v>37165.120000000003</v>
      </c>
      <c r="M34" s="1297"/>
    </row>
    <row r="35" spans="1:13" ht="31.5">
      <c r="A35" s="1257">
        <v>8</v>
      </c>
      <c r="B35" s="607" t="s">
        <v>1123</v>
      </c>
      <c r="C35" s="268" t="s">
        <v>1135</v>
      </c>
      <c r="D35" s="689">
        <v>2</v>
      </c>
      <c r="E35" s="689">
        <v>2</v>
      </c>
      <c r="F35" s="1295">
        <v>16</v>
      </c>
      <c r="G35" s="1261">
        <v>0</v>
      </c>
      <c r="H35" s="1261">
        <v>0</v>
      </c>
      <c r="I35" s="1261">
        <f t="shared" si="2"/>
        <v>32</v>
      </c>
      <c r="J35" s="1269">
        <v>800</v>
      </c>
      <c r="K35" s="1259">
        <f t="shared" si="3"/>
        <v>25600</v>
      </c>
      <c r="M35" s="1297"/>
    </row>
    <row r="36" spans="1:13" ht="63">
      <c r="A36" s="1257">
        <v>9</v>
      </c>
      <c r="B36" s="607" t="s">
        <v>1124</v>
      </c>
      <c r="C36" s="268" t="s">
        <v>1135</v>
      </c>
      <c r="D36" s="689">
        <v>2</v>
      </c>
      <c r="E36" s="689">
        <v>1</v>
      </c>
      <c r="F36" s="1295">
        <v>16</v>
      </c>
      <c r="G36" s="1261">
        <v>0</v>
      </c>
      <c r="H36" s="1261">
        <v>32</v>
      </c>
      <c r="I36" s="1261">
        <f t="shared" si="2"/>
        <v>64</v>
      </c>
      <c r="J36" s="1269">
        <v>207.62</v>
      </c>
      <c r="K36" s="1259">
        <f t="shared" si="3"/>
        <v>13287.68</v>
      </c>
      <c r="M36" s="1297"/>
    </row>
    <row r="37" spans="1:13" ht="31.5">
      <c r="A37" s="1257">
        <v>10</v>
      </c>
      <c r="B37" s="607" t="s">
        <v>1125</v>
      </c>
      <c r="C37" s="268" t="s">
        <v>1135</v>
      </c>
      <c r="D37" s="689">
        <v>2</v>
      </c>
      <c r="E37" s="689">
        <v>2</v>
      </c>
      <c r="F37" s="1295">
        <v>16</v>
      </c>
      <c r="G37" s="1261">
        <v>6</v>
      </c>
      <c r="H37" s="1261">
        <v>0</v>
      </c>
      <c r="I37" s="1261">
        <f t="shared" si="2"/>
        <v>26</v>
      </c>
      <c r="J37" s="1262">
        <v>1200</v>
      </c>
      <c r="K37" s="1259">
        <f t="shared" si="3"/>
        <v>31200</v>
      </c>
      <c r="M37" s="1297"/>
    </row>
    <row r="38" spans="1:13" ht="15.75">
      <c r="A38" s="1257">
        <v>11</v>
      </c>
      <c r="B38" s="607" t="s">
        <v>1113</v>
      </c>
      <c r="C38" s="268" t="s">
        <v>1135</v>
      </c>
      <c r="D38" s="689">
        <v>2</v>
      </c>
      <c r="E38" s="689">
        <v>1</v>
      </c>
      <c r="F38" s="1295">
        <v>16</v>
      </c>
      <c r="G38" s="1261">
        <v>0</v>
      </c>
      <c r="H38" s="1261">
        <v>32</v>
      </c>
      <c r="I38" s="1261">
        <f t="shared" si="2"/>
        <v>64</v>
      </c>
      <c r="J38" s="1262">
        <v>200</v>
      </c>
      <c r="K38" s="1259">
        <f t="shared" si="3"/>
        <v>12800</v>
      </c>
      <c r="M38" s="1297"/>
    </row>
    <row r="39" spans="1:13" ht="69" customHeight="1">
      <c r="A39" s="1257">
        <v>12</v>
      </c>
      <c r="B39" s="607" t="s">
        <v>1126</v>
      </c>
      <c r="C39" s="268" t="s">
        <v>1135</v>
      </c>
      <c r="D39" s="689">
        <v>2</v>
      </c>
      <c r="E39" s="689">
        <v>1</v>
      </c>
      <c r="F39" s="1295">
        <v>16</v>
      </c>
      <c r="G39" s="1261">
        <v>0</v>
      </c>
      <c r="H39" s="1261">
        <v>32</v>
      </c>
      <c r="I39" s="1261">
        <f t="shared" si="2"/>
        <v>64</v>
      </c>
      <c r="J39" s="1269">
        <v>230</v>
      </c>
      <c r="K39" s="1259">
        <f t="shared" si="3"/>
        <v>14720</v>
      </c>
      <c r="M39" s="1297"/>
    </row>
    <row r="40" spans="1:13" ht="31.5">
      <c r="A40" s="1257">
        <v>13</v>
      </c>
      <c r="B40" s="607" t="s">
        <v>1115</v>
      </c>
      <c r="C40" s="268" t="s">
        <v>1135</v>
      </c>
      <c r="D40" s="689">
        <v>1</v>
      </c>
      <c r="E40" s="689">
        <v>2</v>
      </c>
      <c r="F40" s="1295">
        <v>16</v>
      </c>
      <c r="G40" s="1261">
        <v>0</v>
      </c>
      <c r="H40" s="1261">
        <v>0</v>
      </c>
      <c r="I40" s="1261">
        <f t="shared" si="2"/>
        <v>16</v>
      </c>
      <c r="J40" s="1262">
        <v>600</v>
      </c>
      <c r="K40" s="1259">
        <f t="shared" si="3"/>
        <v>9600</v>
      </c>
      <c r="M40" s="1297"/>
    </row>
    <row r="41" spans="1:13" ht="31.5">
      <c r="A41" s="1257">
        <v>14</v>
      </c>
      <c r="B41" s="607" t="s">
        <v>1127</v>
      </c>
      <c r="C41" s="268" t="s">
        <v>1135</v>
      </c>
      <c r="D41" s="689">
        <v>1</v>
      </c>
      <c r="E41" s="689">
        <v>2</v>
      </c>
      <c r="F41" s="1295">
        <v>16</v>
      </c>
      <c r="G41" s="1261">
        <v>0</v>
      </c>
      <c r="H41" s="1261">
        <v>0</v>
      </c>
      <c r="I41" s="1261">
        <f t="shared" si="2"/>
        <v>16</v>
      </c>
      <c r="J41" s="1259">
        <v>300</v>
      </c>
      <c r="K41" s="1259">
        <f t="shared" si="3"/>
        <v>4800</v>
      </c>
      <c r="M41" s="1297"/>
    </row>
    <row r="42" spans="1:13" ht="36" customHeight="1">
      <c r="A42" s="1257">
        <v>15</v>
      </c>
      <c r="B42" s="607" t="s">
        <v>1117</v>
      </c>
      <c r="C42" s="268" t="s">
        <v>1106</v>
      </c>
      <c r="D42" s="689">
        <v>1</v>
      </c>
      <c r="E42" s="689">
        <v>1</v>
      </c>
      <c r="F42" s="1295">
        <v>16</v>
      </c>
      <c r="G42" s="1261">
        <v>0</v>
      </c>
      <c r="H42" s="1261">
        <v>16</v>
      </c>
      <c r="I42" s="1261">
        <f t="shared" si="2"/>
        <v>32</v>
      </c>
      <c r="J42" s="1263">
        <v>1800</v>
      </c>
      <c r="K42" s="1259">
        <f t="shared" si="3"/>
        <v>57600</v>
      </c>
      <c r="M42" s="1297"/>
    </row>
    <row r="43" spans="1:13" ht="31.5">
      <c r="A43" s="1257">
        <v>16</v>
      </c>
      <c r="B43" s="607" t="s">
        <v>1118</v>
      </c>
      <c r="C43" s="268" t="s">
        <v>1106</v>
      </c>
      <c r="D43" s="689">
        <v>1</v>
      </c>
      <c r="E43" s="689">
        <v>2</v>
      </c>
      <c r="F43" s="1295">
        <v>16</v>
      </c>
      <c r="G43" s="1261">
        <v>0</v>
      </c>
      <c r="H43" s="1261">
        <v>0</v>
      </c>
      <c r="I43" s="1261">
        <f t="shared" si="2"/>
        <v>16</v>
      </c>
      <c r="J43" s="1263">
        <v>1000</v>
      </c>
      <c r="K43" s="1259">
        <f t="shared" si="3"/>
        <v>16000</v>
      </c>
      <c r="M43" s="1297"/>
    </row>
    <row r="44" spans="1:13" ht="15.75">
      <c r="A44" s="1257">
        <v>17</v>
      </c>
      <c r="B44" s="607" t="s">
        <v>1119</v>
      </c>
      <c r="C44" s="268" t="s">
        <v>1106</v>
      </c>
      <c r="D44" s="689">
        <v>1</v>
      </c>
      <c r="E44" s="689">
        <v>1</v>
      </c>
      <c r="F44" s="1295">
        <v>16</v>
      </c>
      <c r="G44" s="1261">
        <v>0</v>
      </c>
      <c r="H44" s="1261">
        <v>16</v>
      </c>
      <c r="I44" s="1261">
        <f t="shared" si="2"/>
        <v>32</v>
      </c>
      <c r="J44" s="1262">
        <v>650</v>
      </c>
      <c r="K44" s="1259">
        <f t="shared" si="3"/>
        <v>20800</v>
      </c>
      <c r="M44" s="1297"/>
    </row>
    <row r="45" spans="1:13" ht="15.75">
      <c r="A45" s="1257"/>
      <c r="B45" s="1264"/>
      <c r="C45" s="1265"/>
      <c r="D45" s="1266"/>
      <c r="E45" s="1266"/>
      <c r="F45" s="1267"/>
      <c r="G45" s="1267"/>
      <c r="H45" s="1267"/>
      <c r="I45" s="1267"/>
      <c r="J45" s="1268" t="s">
        <v>183</v>
      </c>
      <c r="K45" s="1260">
        <f>SUM(K28:K44)</f>
        <v>379457.76</v>
      </c>
      <c r="M45" s="1297"/>
    </row>
    <row r="46" spans="1:13" ht="15.75">
      <c r="A46" s="1257"/>
      <c r="B46" s="1903" t="s">
        <v>1906</v>
      </c>
      <c r="C46" s="1904"/>
      <c r="D46" s="1904"/>
      <c r="E46" s="1904"/>
      <c r="F46" s="1904"/>
      <c r="G46" s="1904"/>
      <c r="H46" s="1904"/>
      <c r="I46" s="1904"/>
      <c r="J46" s="1905"/>
      <c r="K46" s="1260">
        <f>K26+K45</f>
        <v>785192.84000000008</v>
      </c>
      <c r="M46" s="1297"/>
    </row>
    <row r="47" spans="1:13" ht="18.75">
      <c r="A47" s="1258"/>
      <c r="B47" s="1898" t="s">
        <v>861</v>
      </c>
      <c r="C47" s="1899"/>
      <c r="D47" s="1899"/>
      <c r="E47" s="1899"/>
      <c r="F47" s="1899"/>
      <c r="G47" s="1899"/>
      <c r="H47" s="1899"/>
      <c r="I47" s="1899"/>
      <c r="J47" s="1900"/>
      <c r="K47" s="1258"/>
      <c r="M47" s="1297"/>
    </row>
    <row r="48" spans="1:13" ht="15.75">
      <c r="A48" s="1298">
        <v>1</v>
      </c>
      <c r="B48" s="607" t="s">
        <v>863</v>
      </c>
      <c r="C48" s="268" t="s">
        <v>864</v>
      </c>
      <c r="D48" s="689">
        <v>3</v>
      </c>
      <c r="E48" s="689">
        <v>2</v>
      </c>
      <c r="F48" s="1295">
        <v>37</v>
      </c>
      <c r="G48" s="1261">
        <f t="shared" ref="G48:G62" si="4">D48*F48</f>
        <v>111</v>
      </c>
      <c r="H48" s="1261">
        <v>0</v>
      </c>
      <c r="I48" s="1261">
        <f t="shared" ref="I48:I62" si="5">D48*F48-G48+H48</f>
        <v>0</v>
      </c>
      <c r="J48" s="1262">
        <v>0</v>
      </c>
      <c r="K48" s="1259">
        <f t="shared" ref="K48:K62" si="6">I48*J48</f>
        <v>0</v>
      </c>
      <c r="L48" s="1300"/>
      <c r="M48" s="1300"/>
    </row>
    <row r="49" spans="1:13" ht="15.75">
      <c r="A49" s="1257">
        <f>A48+1</f>
        <v>2</v>
      </c>
      <c r="B49" s="607" t="s">
        <v>865</v>
      </c>
      <c r="C49" s="268" t="s">
        <v>864</v>
      </c>
      <c r="D49" s="689">
        <v>3</v>
      </c>
      <c r="E49" s="689">
        <v>3</v>
      </c>
      <c r="F49" s="1295">
        <v>37</v>
      </c>
      <c r="G49" s="1261">
        <f t="shared" si="4"/>
        <v>111</v>
      </c>
      <c r="H49" s="1261">
        <v>0</v>
      </c>
      <c r="I49" s="1261">
        <f t="shared" si="5"/>
        <v>0</v>
      </c>
      <c r="J49" s="1262">
        <v>0</v>
      </c>
      <c r="K49" s="1259">
        <f t="shared" si="6"/>
        <v>0</v>
      </c>
      <c r="L49" s="1300"/>
      <c r="M49" s="1300"/>
    </row>
    <row r="50" spans="1:13" ht="31.5">
      <c r="A50" s="1257">
        <f t="shared" ref="A50:A62" si="7">A49+1</f>
        <v>3</v>
      </c>
      <c r="B50" s="607" t="s">
        <v>866</v>
      </c>
      <c r="C50" s="268" t="s">
        <v>864</v>
      </c>
      <c r="D50" s="689">
        <v>1</v>
      </c>
      <c r="E50" s="689">
        <v>5</v>
      </c>
      <c r="F50" s="1295">
        <v>37</v>
      </c>
      <c r="G50" s="1261">
        <f t="shared" si="4"/>
        <v>37</v>
      </c>
      <c r="H50" s="1261">
        <v>0</v>
      </c>
      <c r="I50" s="1261">
        <f t="shared" si="5"/>
        <v>0</v>
      </c>
      <c r="J50" s="1262">
        <v>0</v>
      </c>
      <c r="K50" s="1259">
        <f t="shared" si="6"/>
        <v>0</v>
      </c>
    </row>
    <row r="51" spans="1:13" ht="31.5">
      <c r="A51" s="1257">
        <f t="shared" si="7"/>
        <v>4</v>
      </c>
      <c r="B51" s="607" t="s">
        <v>867</v>
      </c>
      <c r="C51" s="268" t="s">
        <v>864</v>
      </c>
      <c r="D51" s="689">
        <v>3</v>
      </c>
      <c r="E51" s="689">
        <v>3</v>
      </c>
      <c r="F51" s="1295">
        <v>37</v>
      </c>
      <c r="G51" s="1261">
        <f t="shared" si="4"/>
        <v>111</v>
      </c>
      <c r="H51" s="1261">
        <v>0</v>
      </c>
      <c r="I51" s="1261">
        <f t="shared" si="5"/>
        <v>0</v>
      </c>
      <c r="J51" s="1262">
        <v>0</v>
      </c>
      <c r="K51" s="1259">
        <f t="shared" si="6"/>
        <v>0</v>
      </c>
    </row>
    <row r="52" spans="1:13" ht="15.75">
      <c r="A52" s="1257">
        <f t="shared" si="7"/>
        <v>5</v>
      </c>
      <c r="B52" s="607" t="s">
        <v>868</v>
      </c>
      <c r="C52" s="268" t="s">
        <v>864</v>
      </c>
      <c r="D52" s="689">
        <v>4</v>
      </c>
      <c r="E52" s="689">
        <v>2</v>
      </c>
      <c r="F52" s="1295">
        <v>37</v>
      </c>
      <c r="G52" s="1261">
        <f t="shared" si="4"/>
        <v>148</v>
      </c>
      <c r="H52" s="1261">
        <v>148</v>
      </c>
      <c r="I52" s="1261">
        <f t="shared" si="5"/>
        <v>148</v>
      </c>
      <c r="J52" s="1263">
        <v>125</v>
      </c>
      <c r="K52" s="1259">
        <f t="shared" si="6"/>
        <v>18500</v>
      </c>
    </row>
    <row r="53" spans="1:13" ht="31.5">
      <c r="A53" s="1257">
        <f t="shared" si="7"/>
        <v>6</v>
      </c>
      <c r="B53" s="607" t="s">
        <v>869</v>
      </c>
      <c r="C53" s="268" t="s">
        <v>864</v>
      </c>
      <c r="D53" s="689">
        <v>3</v>
      </c>
      <c r="E53" s="689">
        <v>3</v>
      </c>
      <c r="F53" s="1295">
        <v>37</v>
      </c>
      <c r="G53" s="1261">
        <f t="shared" si="4"/>
        <v>111</v>
      </c>
      <c r="H53" s="1261">
        <v>0</v>
      </c>
      <c r="I53" s="1261">
        <f t="shared" si="5"/>
        <v>0</v>
      </c>
      <c r="J53" s="1262">
        <v>0</v>
      </c>
      <c r="K53" s="1259">
        <f t="shared" si="6"/>
        <v>0</v>
      </c>
    </row>
    <row r="54" spans="1:13" ht="47.25">
      <c r="A54" s="1257">
        <f t="shared" si="7"/>
        <v>7</v>
      </c>
      <c r="B54" s="607" t="s">
        <v>870</v>
      </c>
      <c r="C54" s="268" t="s">
        <v>864</v>
      </c>
      <c r="D54" s="689">
        <v>2</v>
      </c>
      <c r="E54" s="689">
        <v>5</v>
      </c>
      <c r="F54" s="1295">
        <v>37</v>
      </c>
      <c r="G54" s="1261">
        <f t="shared" si="4"/>
        <v>74</v>
      </c>
      <c r="H54" s="1261">
        <v>14</v>
      </c>
      <c r="I54" s="1261">
        <f t="shared" si="5"/>
        <v>14</v>
      </c>
      <c r="J54" s="1262">
        <v>1130</v>
      </c>
      <c r="K54" s="1259">
        <f t="shared" si="6"/>
        <v>15820</v>
      </c>
    </row>
    <row r="55" spans="1:13" ht="15.75">
      <c r="A55" s="1257">
        <f t="shared" si="7"/>
        <v>8</v>
      </c>
      <c r="B55" s="607" t="s">
        <v>871</v>
      </c>
      <c r="C55" s="268" t="s">
        <v>864</v>
      </c>
      <c r="D55" s="689">
        <v>1</v>
      </c>
      <c r="E55" s="689">
        <v>5</v>
      </c>
      <c r="F55" s="1295">
        <v>37</v>
      </c>
      <c r="G55" s="1261">
        <f t="shared" si="4"/>
        <v>37</v>
      </c>
      <c r="H55" s="1261">
        <v>0</v>
      </c>
      <c r="I55" s="1261">
        <f t="shared" si="5"/>
        <v>0</v>
      </c>
      <c r="J55" s="1262">
        <v>0</v>
      </c>
      <c r="K55" s="1259">
        <f t="shared" si="6"/>
        <v>0</v>
      </c>
    </row>
    <row r="56" spans="1:13" ht="15.75">
      <c r="A56" s="1257">
        <f t="shared" si="7"/>
        <v>9</v>
      </c>
      <c r="B56" s="607" t="s">
        <v>872</v>
      </c>
      <c r="C56" s="268" t="s">
        <v>864</v>
      </c>
      <c r="D56" s="689">
        <v>1</v>
      </c>
      <c r="E56" s="689">
        <v>8</v>
      </c>
      <c r="F56" s="1295">
        <v>37</v>
      </c>
      <c r="G56" s="1261">
        <f t="shared" si="4"/>
        <v>37</v>
      </c>
      <c r="H56" s="1261">
        <v>0</v>
      </c>
      <c r="I56" s="1261">
        <f t="shared" si="5"/>
        <v>0</v>
      </c>
      <c r="J56" s="1262">
        <v>0</v>
      </c>
      <c r="K56" s="1259">
        <f t="shared" si="6"/>
        <v>0</v>
      </c>
    </row>
    <row r="57" spans="1:13" ht="15.75">
      <c r="A57" s="1257">
        <f t="shared" si="7"/>
        <v>10</v>
      </c>
      <c r="B57" s="607" t="s">
        <v>873</v>
      </c>
      <c r="C57" s="268" t="s">
        <v>864</v>
      </c>
      <c r="D57" s="689">
        <v>1</v>
      </c>
      <c r="E57" s="689">
        <v>6</v>
      </c>
      <c r="F57" s="1295">
        <v>37</v>
      </c>
      <c r="G57" s="1261">
        <f t="shared" si="4"/>
        <v>37</v>
      </c>
      <c r="H57" s="1261">
        <v>0</v>
      </c>
      <c r="I57" s="1261">
        <f t="shared" si="5"/>
        <v>0</v>
      </c>
      <c r="J57" s="1262">
        <v>0</v>
      </c>
      <c r="K57" s="1259">
        <f t="shared" si="6"/>
        <v>0</v>
      </c>
    </row>
    <row r="58" spans="1:13" ht="15.75">
      <c r="A58" s="1257">
        <f t="shared" si="7"/>
        <v>11</v>
      </c>
      <c r="B58" s="607" t="s">
        <v>874</v>
      </c>
      <c r="C58" s="268" t="s">
        <v>864</v>
      </c>
      <c r="D58" s="689">
        <v>1</v>
      </c>
      <c r="E58" s="689">
        <v>5</v>
      </c>
      <c r="F58" s="1295">
        <v>37</v>
      </c>
      <c r="G58" s="1261">
        <f t="shared" si="4"/>
        <v>37</v>
      </c>
      <c r="H58" s="1261">
        <v>0</v>
      </c>
      <c r="I58" s="1261">
        <f t="shared" si="5"/>
        <v>0</v>
      </c>
      <c r="J58" s="1262">
        <v>0</v>
      </c>
      <c r="K58" s="1259">
        <f t="shared" si="6"/>
        <v>0</v>
      </c>
    </row>
    <row r="59" spans="1:13" ht="15.75">
      <c r="A59" s="1257">
        <f t="shared" si="7"/>
        <v>12</v>
      </c>
      <c r="B59" s="607" t="s">
        <v>876</v>
      </c>
      <c r="C59" s="268" t="s">
        <v>864</v>
      </c>
      <c r="D59" s="689">
        <v>2</v>
      </c>
      <c r="E59" s="689">
        <v>2</v>
      </c>
      <c r="F59" s="1295">
        <v>37</v>
      </c>
      <c r="G59" s="1261">
        <f t="shared" si="4"/>
        <v>74</v>
      </c>
      <c r="H59" s="1261">
        <v>0</v>
      </c>
      <c r="I59" s="1261">
        <f t="shared" si="5"/>
        <v>0</v>
      </c>
      <c r="J59" s="1262">
        <v>0</v>
      </c>
      <c r="K59" s="1259">
        <f t="shared" si="6"/>
        <v>0</v>
      </c>
    </row>
    <row r="60" spans="1:13" ht="15.75">
      <c r="A60" s="1257">
        <f t="shared" si="7"/>
        <v>13</v>
      </c>
      <c r="B60" s="607" t="s">
        <v>877</v>
      </c>
      <c r="C60" s="268" t="s">
        <v>864</v>
      </c>
      <c r="D60" s="689">
        <v>1</v>
      </c>
      <c r="E60" s="689">
        <v>7</v>
      </c>
      <c r="F60" s="1295">
        <v>37</v>
      </c>
      <c r="G60" s="1261">
        <f t="shared" si="4"/>
        <v>37</v>
      </c>
      <c r="H60" s="1261">
        <v>0</v>
      </c>
      <c r="I60" s="1261">
        <f t="shared" si="5"/>
        <v>0</v>
      </c>
      <c r="J60" s="1262">
        <v>0</v>
      </c>
      <c r="K60" s="1259">
        <f t="shared" si="6"/>
        <v>0</v>
      </c>
    </row>
    <row r="61" spans="1:13" ht="31.5">
      <c r="A61" s="1257">
        <f t="shared" si="7"/>
        <v>14</v>
      </c>
      <c r="B61" s="607" t="s">
        <v>875</v>
      </c>
      <c r="C61" s="268" t="s">
        <v>864</v>
      </c>
      <c r="D61" s="689">
        <v>1</v>
      </c>
      <c r="E61" s="689">
        <v>5</v>
      </c>
      <c r="F61" s="1295">
        <v>37</v>
      </c>
      <c r="G61" s="1261">
        <f t="shared" si="4"/>
        <v>37</v>
      </c>
      <c r="H61" s="1261">
        <v>0</v>
      </c>
      <c r="I61" s="1261">
        <f t="shared" si="5"/>
        <v>0</v>
      </c>
      <c r="J61" s="1263">
        <v>0</v>
      </c>
      <c r="K61" s="1259">
        <f t="shared" si="6"/>
        <v>0</v>
      </c>
    </row>
    <row r="62" spans="1:13" ht="31.5">
      <c r="A62" s="1257">
        <f t="shared" si="7"/>
        <v>15</v>
      </c>
      <c r="B62" s="607" t="s">
        <v>878</v>
      </c>
      <c r="C62" s="268" t="s">
        <v>864</v>
      </c>
      <c r="D62" s="689">
        <v>1</v>
      </c>
      <c r="E62" s="689">
        <v>7</v>
      </c>
      <c r="F62" s="1295">
        <v>37</v>
      </c>
      <c r="G62" s="1261">
        <f t="shared" si="4"/>
        <v>37</v>
      </c>
      <c r="H62" s="1261">
        <v>0</v>
      </c>
      <c r="I62" s="1261">
        <f t="shared" si="5"/>
        <v>0</v>
      </c>
      <c r="J62" s="1263">
        <v>0</v>
      </c>
      <c r="K62" s="1259">
        <f t="shared" si="6"/>
        <v>0</v>
      </c>
    </row>
    <row r="63" spans="1:13" ht="15.75">
      <c r="A63" s="1257"/>
      <c r="B63" s="1264"/>
      <c r="C63" s="1265"/>
      <c r="D63" s="1266"/>
      <c r="E63" s="1266"/>
      <c r="F63" s="1267"/>
      <c r="G63" s="1267"/>
      <c r="H63" s="1267"/>
      <c r="I63" s="1267"/>
      <c r="J63" s="1268" t="s">
        <v>183</v>
      </c>
      <c r="K63" s="1260">
        <f>SUM(K47:K62)</f>
        <v>34320</v>
      </c>
    </row>
    <row r="64" spans="1:13" ht="15.75">
      <c r="A64" s="1257"/>
      <c r="B64" s="1264"/>
      <c r="C64" s="1265"/>
      <c r="D64" s="1266"/>
      <c r="E64" s="1266"/>
      <c r="F64" s="1267"/>
      <c r="G64" s="1267"/>
      <c r="H64" s="1267"/>
      <c r="I64" s="1901" t="s">
        <v>879</v>
      </c>
      <c r="J64" s="1902"/>
      <c r="K64" s="1260">
        <f>K46+K63</f>
        <v>819512.84000000008</v>
      </c>
    </row>
    <row r="65" spans="1:11" ht="15.75">
      <c r="A65" s="1299"/>
      <c r="B65" s="1299"/>
      <c r="C65" s="1299"/>
      <c r="D65" s="1299"/>
      <c r="E65" s="1299"/>
      <c r="F65" s="1299"/>
      <c r="G65" s="1299"/>
      <c r="H65" s="1299"/>
      <c r="I65" s="1299"/>
      <c r="J65" s="1299"/>
      <c r="K65" s="1299"/>
    </row>
    <row r="66" spans="1:11" ht="15.75">
      <c r="A66" s="1300"/>
      <c r="B66" s="791" t="s">
        <v>1077</v>
      </c>
      <c r="C66" s="1301"/>
      <c r="D66" s="1302"/>
      <c r="E66" s="1301"/>
      <c r="F66" s="1301"/>
      <c r="G66" s="1303"/>
      <c r="H66" s="1301"/>
      <c r="I66" s="1301"/>
      <c r="J66" s="1300"/>
      <c r="K66" s="1302" t="s">
        <v>1344</v>
      </c>
    </row>
    <row r="67" spans="1:11" ht="31.5">
      <c r="A67" s="1300"/>
      <c r="B67" s="1304"/>
      <c r="C67" s="1305"/>
      <c r="D67" s="1306" t="s">
        <v>1078</v>
      </c>
      <c r="E67" s="1306"/>
      <c r="F67" s="1307"/>
      <c r="G67" s="1308"/>
      <c r="H67" s="1309"/>
      <c r="I67" s="1309"/>
      <c r="J67" s="1307"/>
      <c r="K67" s="1310" t="s">
        <v>1079</v>
      </c>
    </row>
    <row r="68" spans="1:11" ht="15.75">
      <c r="A68" s="1300"/>
      <c r="B68" s="1311" t="s">
        <v>1076</v>
      </c>
      <c r="C68" s="1301"/>
      <c r="D68" s="1312"/>
      <c r="E68" s="1313"/>
      <c r="F68" s="1313"/>
      <c r="G68" s="1310"/>
      <c r="H68" s="1313"/>
      <c r="I68" s="1313"/>
      <c r="J68" s="1307"/>
      <c r="K68" s="1312" t="s">
        <v>1784</v>
      </c>
    </row>
    <row r="69" spans="1:11" ht="31.5">
      <c r="A69" s="1300"/>
      <c r="B69" s="1304"/>
      <c r="C69" s="1305"/>
      <c r="D69" s="1309" t="s">
        <v>1078</v>
      </c>
      <c r="E69" s="1306"/>
      <c r="F69" s="1307"/>
      <c r="G69" s="1308"/>
      <c r="H69" s="1309"/>
      <c r="I69" s="1309"/>
      <c r="J69" s="1307"/>
      <c r="K69" s="1310" t="s">
        <v>1079</v>
      </c>
    </row>
    <row r="70" spans="1:11" ht="15.75">
      <c r="A70" s="1314"/>
      <c r="B70" s="1314"/>
      <c r="C70" s="1314"/>
      <c r="D70" s="1314"/>
      <c r="E70" s="1314"/>
      <c r="F70" s="1314"/>
      <c r="G70" s="1314"/>
      <c r="H70" s="1314"/>
      <c r="I70" s="1315"/>
      <c r="J70" s="1315"/>
      <c r="K70" s="1315"/>
    </row>
    <row r="71" spans="1:11" ht="15.75">
      <c r="A71" s="1315"/>
      <c r="B71" s="1315"/>
      <c r="C71" s="1315"/>
      <c r="D71" s="1315"/>
      <c r="E71" s="1315"/>
      <c r="F71" s="1315"/>
      <c r="G71" s="1315"/>
      <c r="H71" s="1315"/>
      <c r="I71" s="1315"/>
      <c r="J71" s="1315"/>
      <c r="K71" s="1315"/>
    </row>
    <row r="72" spans="1:11">
      <c r="A72" s="1316"/>
      <c r="B72" s="1316"/>
      <c r="C72" s="1316"/>
      <c r="D72" s="1317"/>
      <c r="E72" s="1316"/>
    </row>
  </sheetData>
  <mergeCells count="17">
    <mergeCell ref="E4:G4"/>
    <mergeCell ref="B9:J9"/>
    <mergeCell ref="A3:K3"/>
    <mergeCell ref="A5:K5"/>
    <mergeCell ref="A6:A7"/>
    <mergeCell ref="B6:B7"/>
    <mergeCell ref="C6:C7"/>
    <mergeCell ref="D6:D7"/>
    <mergeCell ref="E6:E7"/>
    <mergeCell ref="F6:F7"/>
    <mergeCell ref="G6:H6"/>
    <mergeCell ref="I6:K6"/>
    <mergeCell ref="B47:J47"/>
    <mergeCell ref="I64:J64"/>
    <mergeCell ref="B46:J46"/>
    <mergeCell ref="B26:J26"/>
    <mergeCell ref="B27:J27"/>
  </mergeCells>
  <phoneticPr fontId="116" type="noConversion"/>
  <pageMargins left="0.7" right="0.7" top="0.75" bottom="0.75" header="0.3" footer="0.3"/>
  <pageSetup paperSize="9" scale="77" orientation="portrait" horizontalDpi="300" verticalDpi="300" r:id="rId1"/>
</worksheet>
</file>

<file path=xl/worksheets/sheet45.xml><?xml version="1.0" encoding="utf-8"?>
<worksheet xmlns="http://schemas.openxmlformats.org/spreadsheetml/2006/main" xmlns:r="http://schemas.openxmlformats.org/officeDocument/2006/relationships">
  <sheetPr codeName="Лист21">
    <tabColor rgb="FF00B050"/>
  </sheetPr>
  <dimension ref="A1:K60"/>
  <sheetViews>
    <sheetView view="pageBreakPreview" zoomScale="89" zoomScaleNormal="100" zoomScaleSheetLayoutView="89" workbookViewId="0">
      <selection activeCell="C23" sqref="C23:C26"/>
    </sheetView>
  </sheetViews>
  <sheetFormatPr defaultColWidth="17.85546875" defaultRowHeight="15"/>
  <cols>
    <col min="1" max="1" width="7" style="26" customWidth="1"/>
    <col min="2" max="2" width="17" style="26" customWidth="1"/>
    <col min="3" max="3" width="25.42578125" style="21" customWidth="1"/>
    <col min="4" max="4" width="21.140625" style="26" customWidth="1"/>
    <col min="5" max="5" width="13" style="26" customWidth="1"/>
    <col min="6" max="6" width="12.140625" style="26" customWidth="1"/>
    <col min="7" max="8" width="11.140625" style="26" customWidth="1"/>
    <col min="9" max="9" width="17.85546875" style="26" customWidth="1"/>
    <col min="10" max="10" width="13.42578125" style="26" customWidth="1"/>
    <col min="11" max="11" width="15.5703125" style="72" customWidth="1"/>
    <col min="12" max="16384" width="17.85546875" style="26"/>
  </cols>
  <sheetData>
    <row r="1" spans="1:11" ht="21.75" customHeight="1">
      <c r="K1" s="209" t="s">
        <v>965</v>
      </c>
    </row>
    <row r="2" spans="1:11">
      <c r="K2" s="32"/>
    </row>
    <row r="3" spans="1:11" ht="15.75">
      <c r="A3" s="1809" t="s">
        <v>1723</v>
      </c>
      <c r="B3" s="1809"/>
      <c r="C3" s="1936"/>
      <c r="D3" s="1936"/>
      <c r="E3" s="1936"/>
      <c r="F3" s="1936"/>
      <c r="G3" s="1936"/>
      <c r="H3" s="1936"/>
      <c r="I3" s="1936"/>
      <c r="J3" s="1936"/>
      <c r="K3" s="1936"/>
    </row>
    <row r="4" spans="1:11" ht="24.75" customHeight="1">
      <c r="A4" s="1937" t="s">
        <v>749</v>
      </c>
      <c r="B4" s="1937"/>
      <c r="C4" s="1938"/>
      <c r="D4" s="1938"/>
      <c r="E4" s="1938"/>
      <c r="F4" s="1938"/>
      <c r="G4" s="1938"/>
      <c r="H4" s="1938"/>
      <c r="I4" s="1938"/>
      <c r="J4" s="1938"/>
      <c r="K4" s="1938"/>
    </row>
    <row r="5" spans="1:11" ht="33" customHeight="1">
      <c r="A5" s="1927" t="s">
        <v>1267</v>
      </c>
      <c r="B5" s="1927" t="s">
        <v>1511</v>
      </c>
      <c r="C5" s="1927" t="s">
        <v>1512</v>
      </c>
      <c r="D5" s="1927" t="s">
        <v>218</v>
      </c>
      <c r="E5" s="1927" t="s">
        <v>1513</v>
      </c>
      <c r="F5" s="1927" t="s">
        <v>1514</v>
      </c>
      <c r="G5" s="1927" t="s">
        <v>1515</v>
      </c>
      <c r="H5" s="1927"/>
      <c r="I5" s="1927" t="s">
        <v>1034</v>
      </c>
      <c r="J5" s="1927" t="s">
        <v>223</v>
      </c>
      <c r="K5" s="1939" t="s">
        <v>1035</v>
      </c>
    </row>
    <row r="6" spans="1:11" ht="104.25" customHeight="1">
      <c r="A6" s="1927"/>
      <c r="B6" s="1927"/>
      <c r="C6" s="1927"/>
      <c r="D6" s="1927"/>
      <c r="E6" s="1927"/>
      <c r="F6" s="1927"/>
      <c r="G6" s="228" t="s">
        <v>66</v>
      </c>
      <c r="H6" s="228" t="s">
        <v>693</v>
      </c>
      <c r="I6" s="1927"/>
      <c r="J6" s="1927"/>
      <c r="K6" s="1939"/>
    </row>
    <row r="7" spans="1:11" ht="15.75">
      <c r="A7" s="238">
        <v>1</v>
      </c>
      <c r="B7" s="238">
        <v>2</v>
      </c>
      <c r="C7" s="238">
        <v>3</v>
      </c>
      <c r="D7" s="238">
        <v>4</v>
      </c>
      <c r="E7" s="238">
        <v>5</v>
      </c>
      <c r="F7" s="238">
        <v>6</v>
      </c>
      <c r="G7" s="238">
        <v>7</v>
      </c>
      <c r="H7" s="238">
        <v>8</v>
      </c>
      <c r="I7" s="238">
        <v>9</v>
      </c>
      <c r="J7" s="238">
        <v>10</v>
      </c>
      <c r="K7" s="546">
        <v>11</v>
      </c>
    </row>
    <row r="8" spans="1:11" s="29" customFormat="1" ht="15.75" hidden="1">
      <c r="A8" s="1929">
        <v>1</v>
      </c>
      <c r="B8" s="1931" t="s">
        <v>687</v>
      </c>
      <c r="C8" s="1932" t="s">
        <v>688</v>
      </c>
      <c r="D8" s="1243" t="s">
        <v>689</v>
      </c>
      <c r="E8" s="1242">
        <v>1</v>
      </c>
      <c r="F8" s="1242">
        <v>9</v>
      </c>
      <c r="G8" s="544">
        <v>9</v>
      </c>
      <c r="H8" s="544">
        <v>0</v>
      </c>
      <c r="I8" s="544">
        <f>E8*F8-G8+H8</f>
        <v>0</v>
      </c>
      <c r="J8" s="302">
        <v>1000</v>
      </c>
      <c r="K8" s="303">
        <f>I8*J8</f>
        <v>0</v>
      </c>
    </row>
    <row r="9" spans="1:11" s="29" customFormat="1" ht="25.5" hidden="1">
      <c r="A9" s="1930"/>
      <c r="B9" s="1917"/>
      <c r="C9" s="1918"/>
      <c r="D9" s="1246" t="s">
        <v>690</v>
      </c>
      <c r="E9" s="1244">
        <v>6</v>
      </c>
      <c r="F9" s="1244">
        <v>9</v>
      </c>
      <c r="G9" s="545">
        <v>54</v>
      </c>
      <c r="H9" s="545">
        <v>0</v>
      </c>
      <c r="I9" s="544">
        <f t="shared" ref="I9:I53" si="0">E9*F9-G9+H9</f>
        <v>0</v>
      </c>
      <c r="J9" s="304">
        <v>200</v>
      </c>
      <c r="K9" s="303">
        <f t="shared" ref="K9:K53" si="1">I9*J9</f>
        <v>0</v>
      </c>
    </row>
    <row r="10" spans="1:11" s="29" customFormat="1" ht="15.75" hidden="1">
      <c r="A10" s="1930"/>
      <c r="B10" s="1917"/>
      <c r="C10" s="1918"/>
      <c r="D10" s="1246" t="s">
        <v>691</v>
      </c>
      <c r="E10" s="1244">
        <v>2</v>
      </c>
      <c r="F10" s="1244">
        <v>9</v>
      </c>
      <c r="G10" s="545">
        <v>18</v>
      </c>
      <c r="H10" s="545">
        <v>0</v>
      </c>
      <c r="I10" s="544">
        <f t="shared" si="0"/>
        <v>0</v>
      </c>
      <c r="J10" s="304">
        <v>25</v>
      </c>
      <c r="K10" s="303">
        <f t="shared" si="1"/>
        <v>0</v>
      </c>
    </row>
    <row r="11" spans="1:11" s="29" customFormat="1" ht="16.5" hidden="1" thickBot="1">
      <c r="A11" s="1930"/>
      <c r="B11" s="1921"/>
      <c r="C11" s="1933"/>
      <c r="D11" s="1247" t="s">
        <v>692</v>
      </c>
      <c r="E11" s="1245">
        <v>1</v>
      </c>
      <c r="F11" s="1245">
        <v>5</v>
      </c>
      <c r="G11" s="545">
        <v>5</v>
      </c>
      <c r="H11" s="545">
        <v>0</v>
      </c>
      <c r="I11" s="544">
        <f t="shared" si="0"/>
        <v>0</v>
      </c>
      <c r="J11" s="304">
        <v>800</v>
      </c>
      <c r="K11" s="303">
        <f t="shared" si="1"/>
        <v>0</v>
      </c>
    </row>
    <row r="12" spans="1:11" s="29" customFormat="1" ht="25.5" hidden="1">
      <c r="A12" s="1922">
        <v>2</v>
      </c>
      <c r="B12" s="1920" t="s">
        <v>42</v>
      </c>
      <c r="C12" s="1925" t="s">
        <v>1659</v>
      </c>
      <c r="D12" s="1250" t="s">
        <v>43</v>
      </c>
      <c r="E12" s="1249">
        <v>1</v>
      </c>
      <c r="F12" s="545">
        <v>2</v>
      </c>
      <c r="G12" s="545">
        <v>2</v>
      </c>
      <c r="H12" s="545">
        <v>0</v>
      </c>
      <c r="I12" s="544">
        <f t="shared" si="0"/>
        <v>0</v>
      </c>
      <c r="J12" s="304">
        <v>1000</v>
      </c>
      <c r="K12" s="303">
        <f t="shared" si="1"/>
        <v>0</v>
      </c>
    </row>
    <row r="13" spans="1:11" s="29" customFormat="1" ht="25.5" hidden="1">
      <c r="A13" s="1923"/>
      <c r="B13" s="1917"/>
      <c r="C13" s="1925"/>
      <c r="D13" s="1248" t="s">
        <v>44</v>
      </c>
      <c r="E13" s="1244">
        <v>1</v>
      </c>
      <c r="F13" s="545">
        <v>2</v>
      </c>
      <c r="G13" s="545">
        <v>2</v>
      </c>
      <c r="H13" s="545">
        <v>0</v>
      </c>
      <c r="I13" s="544">
        <f t="shared" si="0"/>
        <v>0</v>
      </c>
      <c r="J13" s="304">
        <v>1500</v>
      </c>
      <c r="K13" s="303">
        <f t="shared" si="1"/>
        <v>0</v>
      </c>
    </row>
    <row r="14" spans="1:11" s="29" customFormat="1" ht="38.25" hidden="1">
      <c r="A14" s="1923"/>
      <c r="B14" s="1917"/>
      <c r="C14" s="1925"/>
      <c r="D14" s="1248" t="s">
        <v>45</v>
      </c>
      <c r="E14" s="1244">
        <v>1</v>
      </c>
      <c r="F14" s="545">
        <v>2</v>
      </c>
      <c r="G14" s="545">
        <v>2</v>
      </c>
      <c r="H14" s="545">
        <v>0</v>
      </c>
      <c r="I14" s="544">
        <f t="shared" si="0"/>
        <v>0</v>
      </c>
      <c r="J14" s="304">
        <v>1000</v>
      </c>
      <c r="K14" s="303">
        <f t="shared" si="1"/>
        <v>0</v>
      </c>
    </row>
    <row r="15" spans="1:11" s="29" customFormat="1" ht="25.5" hidden="1">
      <c r="A15" s="1923"/>
      <c r="B15" s="1917"/>
      <c r="C15" s="1925"/>
      <c r="D15" s="1248" t="s">
        <v>46</v>
      </c>
      <c r="E15" s="1244">
        <v>1</v>
      </c>
      <c r="F15" s="545">
        <v>2</v>
      </c>
      <c r="G15" s="545">
        <v>2</v>
      </c>
      <c r="H15" s="545">
        <v>0</v>
      </c>
      <c r="I15" s="544">
        <f t="shared" si="0"/>
        <v>0</v>
      </c>
      <c r="J15" s="304">
        <v>2600</v>
      </c>
      <c r="K15" s="303">
        <f t="shared" si="1"/>
        <v>0</v>
      </c>
    </row>
    <row r="16" spans="1:11" s="29" customFormat="1" ht="15.75" hidden="1">
      <c r="A16" s="1923"/>
      <c r="B16" s="1917"/>
      <c r="C16" s="1925"/>
      <c r="D16" s="1248" t="s">
        <v>47</v>
      </c>
      <c r="E16" s="1244">
        <v>1</v>
      </c>
      <c r="F16" s="545">
        <v>2</v>
      </c>
      <c r="G16" s="545">
        <v>2</v>
      </c>
      <c r="H16" s="545">
        <v>0</v>
      </c>
      <c r="I16" s="544">
        <f t="shared" si="0"/>
        <v>0</v>
      </c>
      <c r="J16" s="304"/>
      <c r="K16" s="303">
        <f t="shared" si="1"/>
        <v>0</v>
      </c>
    </row>
    <row r="17" spans="1:11" s="29" customFormat="1" ht="38.25" hidden="1">
      <c r="A17" s="1923"/>
      <c r="B17" s="1917"/>
      <c r="C17" s="1925"/>
      <c r="D17" s="1246" t="s">
        <v>48</v>
      </c>
      <c r="E17" s="1244">
        <v>1</v>
      </c>
      <c r="F17" s="545">
        <v>2</v>
      </c>
      <c r="G17" s="545">
        <v>2</v>
      </c>
      <c r="H17" s="545">
        <v>0</v>
      </c>
      <c r="I17" s="544">
        <f t="shared" si="0"/>
        <v>0</v>
      </c>
      <c r="J17" s="304"/>
      <c r="K17" s="303">
        <f t="shared" si="1"/>
        <v>0</v>
      </c>
    </row>
    <row r="18" spans="1:11" s="29" customFormat="1" ht="26.25" hidden="1" thickBot="1">
      <c r="A18" s="1924"/>
      <c r="B18" s="1921"/>
      <c r="C18" s="1926"/>
      <c r="D18" s="1247" t="s">
        <v>690</v>
      </c>
      <c r="E18" s="1245">
        <v>6</v>
      </c>
      <c r="F18" s="545">
        <v>2</v>
      </c>
      <c r="G18" s="545">
        <v>12</v>
      </c>
      <c r="H18" s="545">
        <v>0</v>
      </c>
      <c r="I18" s="544">
        <f t="shared" si="0"/>
        <v>0</v>
      </c>
      <c r="J18" s="304">
        <v>200</v>
      </c>
      <c r="K18" s="303">
        <f t="shared" si="1"/>
        <v>0</v>
      </c>
    </row>
    <row r="19" spans="1:11" s="29" customFormat="1" ht="25.5" hidden="1">
      <c r="A19" s="1922">
        <v>3</v>
      </c>
      <c r="B19" s="1931" t="s">
        <v>49</v>
      </c>
      <c r="C19" s="1932" t="s">
        <v>50</v>
      </c>
      <c r="D19" s="1243" t="s">
        <v>43</v>
      </c>
      <c r="E19" s="1242">
        <v>1</v>
      </c>
      <c r="F19" s="545">
        <v>1</v>
      </c>
      <c r="G19" s="545">
        <v>1</v>
      </c>
      <c r="H19" s="545">
        <v>0</v>
      </c>
      <c r="I19" s="544">
        <f t="shared" si="0"/>
        <v>0</v>
      </c>
      <c r="J19" s="304">
        <v>1000</v>
      </c>
      <c r="K19" s="303">
        <f t="shared" si="1"/>
        <v>0</v>
      </c>
    </row>
    <row r="20" spans="1:11" s="29" customFormat="1" ht="15.75" hidden="1">
      <c r="A20" s="1923"/>
      <c r="B20" s="1917"/>
      <c r="C20" s="1918"/>
      <c r="D20" s="1248" t="s">
        <v>692</v>
      </c>
      <c r="E20" s="1244">
        <v>1</v>
      </c>
      <c r="F20" s="545">
        <v>1</v>
      </c>
      <c r="G20" s="545">
        <v>1</v>
      </c>
      <c r="H20" s="545">
        <v>0</v>
      </c>
      <c r="I20" s="544">
        <f t="shared" si="0"/>
        <v>0</v>
      </c>
      <c r="J20" s="304">
        <v>800</v>
      </c>
      <c r="K20" s="303">
        <f t="shared" si="1"/>
        <v>0</v>
      </c>
    </row>
    <row r="21" spans="1:11" s="29" customFormat="1" ht="25.5" hidden="1">
      <c r="A21" s="1923"/>
      <c r="B21" s="1917"/>
      <c r="C21" s="1918"/>
      <c r="D21" s="1248" t="s">
        <v>51</v>
      </c>
      <c r="E21" s="1244">
        <v>4</v>
      </c>
      <c r="F21" s="545">
        <v>1</v>
      </c>
      <c r="G21" s="545">
        <v>4</v>
      </c>
      <c r="H21" s="545">
        <v>0</v>
      </c>
      <c r="I21" s="544">
        <f t="shared" si="0"/>
        <v>0</v>
      </c>
      <c r="J21" s="304">
        <v>36</v>
      </c>
      <c r="K21" s="303">
        <f t="shared" si="1"/>
        <v>0</v>
      </c>
    </row>
    <row r="22" spans="1:11" s="29" customFormat="1" ht="39" hidden="1" thickBot="1">
      <c r="A22" s="1923"/>
      <c r="B22" s="1934"/>
      <c r="C22" s="1935"/>
      <c r="D22" s="1344" t="s">
        <v>48</v>
      </c>
      <c r="E22" s="1345">
        <v>2</v>
      </c>
      <c r="F22" s="1346">
        <v>1</v>
      </c>
      <c r="G22" s="1346">
        <v>2</v>
      </c>
      <c r="H22" s="1346">
        <v>0</v>
      </c>
      <c r="I22" s="1347">
        <f t="shared" si="0"/>
        <v>0</v>
      </c>
      <c r="J22" s="1348"/>
      <c r="K22" s="1349">
        <f t="shared" si="1"/>
        <v>0</v>
      </c>
    </row>
    <row r="23" spans="1:11" s="29" customFormat="1" ht="38.25">
      <c r="A23" s="1919">
        <v>1</v>
      </c>
      <c r="B23" s="1917" t="s">
        <v>52</v>
      </c>
      <c r="C23" s="1918" t="s">
        <v>53</v>
      </c>
      <c r="D23" s="1246" t="s">
        <v>54</v>
      </c>
      <c r="E23" s="1244">
        <v>3</v>
      </c>
      <c r="F23" s="545">
        <v>3</v>
      </c>
      <c r="G23" s="545">
        <f>E23*F23</f>
        <v>9</v>
      </c>
      <c r="H23" s="545">
        <v>9</v>
      </c>
      <c r="I23" s="545">
        <f t="shared" si="0"/>
        <v>9</v>
      </c>
      <c r="J23" s="304">
        <v>57.75</v>
      </c>
      <c r="K23" s="1350">
        <f t="shared" si="1"/>
        <v>519.75</v>
      </c>
    </row>
    <row r="24" spans="1:11" s="29" customFormat="1" ht="51">
      <c r="A24" s="1919"/>
      <c r="B24" s="1917"/>
      <c r="C24" s="1918"/>
      <c r="D24" s="1248" t="s">
        <v>55</v>
      </c>
      <c r="E24" s="1244">
        <v>3</v>
      </c>
      <c r="F24" s="545">
        <v>3</v>
      </c>
      <c r="G24" s="545">
        <f t="shared" ref="G24:G53" si="2">E24*F24</f>
        <v>9</v>
      </c>
      <c r="H24" s="545">
        <v>9</v>
      </c>
      <c r="I24" s="545">
        <f t="shared" si="0"/>
        <v>9</v>
      </c>
      <c r="J24" s="304">
        <v>1500</v>
      </c>
      <c r="K24" s="1350">
        <f t="shared" si="1"/>
        <v>13500</v>
      </c>
    </row>
    <row r="25" spans="1:11" s="29" customFormat="1" ht="25.5">
      <c r="A25" s="1919"/>
      <c r="B25" s="1917"/>
      <c r="C25" s="1918"/>
      <c r="D25" s="1248" t="s">
        <v>56</v>
      </c>
      <c r="E25" s="1244">
        <v>3</v>
      </c>
      <c r="F25" s="545">
        <v>3</v>
      </c>
      <c r="G25" s="545">
        <f t="shared" si="2"/>
        <v>9</v>
      </c>
      <c r="H25" s="545">
        <v>0</v>
      </c>
      <c r="I25" s="545">
        <f t="shared" si="0"/>
        <v>0</v>
      </c>
      <c r="J25" s="304">
        <v>0</v>
      </c>
      <c r="K25" s="1350">
        <f t="shared" si="1"/>
        <v>0</v>
      </c>
    </row>
    <row r="26" spans="1:11" s="29" customFormat="1" ht="51">
      <c r="A26" s="1919"/>
      <c r="B26" s="1917"/>
      <c r="C26" s="1918"/>
      <c r="D26" s="1248" t="s">
        <v>57</v>
      </c>
      <c r="E26" s="1244">
        <v>2</v>
      </c>
      <c r="F26" s="545">
        <v>3</v>
      </c>
      <c r="G26" s="545">
        <f t="shared" si="2"/>
        <v>6</v>
      </c>
      <c r="H26" s="545">
        <v>6</v>
      </c>
      <c r="I26" s="545">
        <f t="shared" si="0"/>
        <v>6</v>
      </c>
      <c r="J26" s="304">
        <v>500</v>
      </c>
      <c r="K26" s="1350">
        <f t="shared" si="1"/>
        <v>3000</v>
      </c>
    </row>
    <row r="27" spans="1:11" s="29" customFormat="1" ht="25.5" hidden="1">
      <c r="A27" s="1919">
        <v>5</v>
      </c>
      <c r="B27" s="1917" t="s">
        <v>788</v>
      </c>
      <c r="C27" s="1918" t="s">
        <v>789</v>
      </c>
      <c r="D27" s="1248" t="s">
        <v>790</v>
      </c>
      <c r="E27" s="1244">
        <v>1</v>
      </c>
      <c r="F27" s="545">
        <v>1</v>
      </c>
      <c r="G27" s="545">
        <f t="shared" si="2"/>
        <v>1</v>
      </c>
      <c r="H27" s="545">
        <v>0</v>
      </c>
      <c r="I27" s="545">
        <f t="shared" si="0"/>
        <v>0</v>
      </c>
      <c r="J27" s="304">
        <v>1000</v>
      </c>
      <c r="K27" s="1350">
        <f t="shared" si="1"/>
        <v>0</v>
      </c>
    </row>
    <row r="28" spans="1:11" s="29" customFormat="1" ht="15.75" hidden="1">
      <c r="A28" s="1919"/>
      <c r="B28" s="1917"/>
      <c r="C28" s="1918"/>
      <c r="D28" s="1248" t="s">
        <v>791</v>
      </c>
      <c r="E28" s="1244">
        <v>1</v>
      </c>
      <c r="F28" s="545">
        <v>1</v>
      </c>
      <c r="G28" s="545">
        <f t="shared" si="2"/>
        <v>1</v>
      </c>
      <c r="H28" s="545">
        <v>0</v>
      </c>
      <c r="I28" s="545">
        <f t="shared" si="0"/>
        <v>0</v>
      </c>
      <c r="J28" s="304">
        <v>2600</v>
      </c>
      <c r="K28" s="1350">
        <f t="shared" si="1"/>
        <v>0</v>
      </c>
    </row>
    <row r="29" spans="1:11" s="29" customFormat="1" ht="25.5" hidden="1">
      <c r="A29" s="1919"/>
      <c r="B29" s="1917"/>
      <c r="C29" s="1918"/>
      <c r="D29" s="1248" t="s">
        <v>792</v>
      </c>
      <c r="E29" s="1244">
        <v>4</v>
      </c>
      <c r="F29" s="545">
        <v>1</v>
      </c>
      <c r="G29" s="545">
        <f t="shared" si="2"/>
        <v>4</v>
      </c>
      <c r="H29" s="545">
        <v>0</v>
      </c>
      <c r="I29" s="545">
        <f t="shared" si="0"/>
        <v>0</v>
      </c>
      <c r="J29" s="304">
        <v>200</v>
      </c>
      <c r="K29" s="1350">
        <f t="shared" si="1"/>
        <v>0</v>
      </c>
    </row>
    <row r="30" spans="1:11" s="29" customFormat="1" ht="25.5" hidden="1">
      <c r="A30" s="1919"/>
      <c r="B30" s="1917"/>
      <c r="C30" s="1918"/>
      <c r="D30" s="1248" t="s">
        <v>793</v>
      </c>
      <c r="E30" s="1244">
        <v>1</v>
      </c>
      <c r="F30" s="545">
        <v>1</v>
      </c>
      <c r="G30" s="545">
        <f t="shared" si="2"/>
        <v>1</v>
      </c>
      <c r="H30" s="545">
        <v>0</v>
      </c>
      <c r="I30" s="545">
        <f t="shared" si="0"/>
        <v>0</v>
      </c>
      <c r="J30" s="304"/>
      <c r="K30" s="1350">
        <f t="shared" si="1"/>
        <v>0</v>
      </c>
    </row>
    <row r="31" spans="1:11" s="29" customFormat="1" ht="25.5" hidden="1">
      <c r="A31" s="1919"/>
      <c r="B31" s="1917"/>
      <c r="C31" s="1918"/>
      <c r="D31" s="1248" t="s">
        <v>794</v>
      </c>
      <c r="E31" s="1244">
        <v>1</v>
      </c>
      <c r="F31" s="545">
        <v>1</v>
      </c>
      <c r="G31" s="545">
        <f t="shared" si="2"/>
        <v>1</v>
      </c>
      <c r="H31" s="545">
        <v>0</v>
      </c>
      <c r="I31" s="545">
        <f t="shared" si="0"/>
        <v>0</v>
      </c>
      <c r="J31" s="304"/>
      <c r="K31" s="1350">
        <f t="shared" si="1"/>
        <v>0</v>
      </c>
    </row>
    <row r="32" spans="1:11" s="29" customFormat="1" ht="25.5" hidden="1">
      <c r="A32" s="1919">
        <v>6</v>
      </c>
      <c r="B32" s="1917" t="s">
        <v>795</v>
      </c>
      <c r="C32" s="1918" t="s">
        <v>1653</v>
      </c>
      <c r="D32" s="1248" t="s">
        <v>796</v>
      </c>
      <c r="E32" s="1244">
        <v>1</v>
      </c>
      <c r="F32" s="545">
        <v>10</v>
      </c>
      <c r="G32" s="545">
        <f t="shared" si="2"/>
        <v>10</v>
      </c>
      <c r="H32" s="545">
        <v>0</v>
      </c>
      <c r="I32" s="545">
        <f t="shared" si="0"/>
        <v>0</v>
      </c>
      <c r="J32" s="304">
        <v>1000</v>
      </c>
      <c r="K32" s="1350">
        <f t="shared" si="1"/>
        <v>0</v>
      </c>
    </row>
    <row r="33" spans="1:11" s="29" customFormat="1" ht="51" hidden="1">
      <c r="A33" s="1919"/>
      <c r="B33" s="1917"/>
      <c r="C33" s="1918"/>
      <c r="D33" s="1248" t="s">
        <v>797</v>
      </c>
      <c r="E33" s="1244">
        <v>1</v>
      </c>
      <c r="F33" s="545">
        <v>10</v>
      </c>
      <c r="G33" s="545">
        <f t="shared" si="2"/>
        <v>10</v>
      </c>
      <c r="H33" s="545">
        <v>0</v>
      </c>
      <c r="I33" s="545">
        <f t="shared" si="0"/>
        <v>0</v>
      </c>
      <c r="J33" s="304"/>
      <c r="K33" s="1350">
        <f t="shared" si="1"/>
        <v>0</v>
      </c>
    </row>
    <row r="34" spans="1:11" s="29" customFormat="1" ht="25.5" hidden="1">
      <c r="A34" s="1919"/>
      <c r="B34" s="1917"/>
      <c r="C34" s="1918"/>
      <c r="D34" s="1248" t="s">
        <v>44</v>
      </c>
      <c r="E34" s="1244">
        <v>1</v>
      </c>
      <c r="F34" s="545">
        <v>10</v>
      </c>
      <c r="G34" s="545">
        <f t="shared" si="2"/>
        <v>10</v>
      </c>
      <c r="H34" s="545">
        <v>0</v>
      </c>
      <c r="I34" s="545">
        <f t="shared" si="0"/>
        <v>0</v>
      </c>
      <c r="J34" s="304">
        <v>1500</v>
      </c>
      <c r="K34" s="1350">
        <f t="shared" si="1"/>
        <v>0</v>
      </c>
    </row>
    <row r="35" spans="1:11" s="29" customFormat="1" ht="25.5" hidden="1">
      <c r="A35" s="1919"/>
      <c r="B35" s="1917"/>
      <c r="C35" s="1918"/>
      <c r="D35" s="1248" t="s">
        <v>798</v>
      </c>
      <c r="E35" s="1244">
        <v>1</v>
      </c>
      <c r="F35" s="545">
        <v>10</v>
      </c>
      <c r="G35" s="545">
        <f t="shared" si="2"/>
        <v>10</v>
      </c>
      <c r="H35" s="545">
        <v>0</v>
      </c>
      <c r="I35" s="545">
        <f t="shared" si="0"/>
        <v>0</v>
      </c>
      <c r="J35" s="304"/>
      <c r="K35" s="1350">
        <f t="shared" si="1"/>
        <v>0</v>
      </c>
    </row>
    <row r="36" spans="1:11" s="29" customFormat="1" ht="25.5" hidden="1">
      <c r="A36" s="1919"/>
      <c r="B36" s="1917"/>
      <c r="C36" s="1918"/>
      <c r="D36" s="1248" t="s">
        <v>799</v>
      </c>
      <c r="E36" s="1244">
        <v>1</v>
      </c>
      <c r="F36" s="545">
        <v>1</v>
      </c>
      <c r="G36" s="545">
        <f t="shared" si="2"/>
        <v>1</v>
      </c>
      <c r="H36" s="545">
        <v>0</v>
      </c>
      <c r="I36" s="545">
        <f t="shared" si="0"/>
        <v>0</v>
      </c>
      <c r="J36" s="304"/>
      <c r="K36" s="1350">
        <f t="shared" si="1"/>
        <v>0</v>
      </c>
    </row>
    <row r="37" spans="1:11" s="29" customFormat="1" ht="25.5" hidden="1">
      <c r="A37" s="1919"/>
      <c r="B37" s="1917"/>
      <c r="C37" s="1918"/>
      <c r="D37" s="1248" t="s">
        <v>800</v>
      </c>
      <c r="E37" s="1244">
        <v>1</v>
      </c>
      <c r="F37" s="545">
        <v>10</v>
      </c>
      <c r="G37" s="545">
        <f t="shared" si="2"/>
        <v>10</v>
      </c>
      <c r="H37" s="545">
        <v>0</v>
      </c>
      <c r="I37" s="545">
        <f t="shared" si="0"/>
        <v>0</v>
      </c>
      <c r="J37" s="304">
        <v>1000</v>
      </c>
      <c r="K37" s="1350">
        <f t="shared" si="1"/>
        <v>0</v>
      </c>
    </row>
    <row r="38" spans="1:11" s="29" customFormat="1" ht="25.5" hidden="1">
      <c r="A38" s="1919">
        <v>7</v>
      </c>
      <c r="B38" s="1917" t="s">
        <v>801</v>
      </c>
      <c r="C38" s="1918" t="s">
        <v>802</v>
      </c>
      <c r="D38" s="1248" t="s">
        <v>43</v>
      </c>
      <c r="E38" s="1244">
        <v>1</v>
      </c>
      <c r="F38" s="545">
        <v>2</v>
      </c>
      <c r="G38" s="545">
        <f t="shared" si="2"/>
        <v>2</v>
      </c>
      <c r="H38" s="545">
        <v>0</v>
      </c>
      <c r="I38" s="545">
        <f t="shared" si="0"/>
        <v>0</v>
      </c>
      <c r="J38" s="304">
        <v>1000</v>
      </c>
      <c r="K38" s="1350">
        <f t="shared" si="1"/>
        <v>0</v>
      </c>
    </row>
    <row r="39" spans="1:11" s="29" customFormat="1" ht="63.75" hidden="1">
      <c r="A39" s="1919"/>
      <c r="B39" s="1917"/>
      <c r="C39" s="1918"/>
      <c r="D39" s="1248" t="s">
        <v>803</v>
      </c>
      <c r="E39" s="1244">
        <v>6</v>
      </c>
      <c r="F39" s="545">
        <v>2</v>
      </c>
      <c r="G39" s="545">
        <f t="shared" si="2"/>
        <v>12</v>
      </c>
      <c r="H39" s="545">
        <v>0</v>
      </c>
      <c r="I39" s="545">
        <f t="shared" si="0"/>
        <v>0</v>
      </c>
      <c r="J39" s="304">
        <v>369</v>
      </c>
      <c r="K39" s="1350">
        <f t="shared" si="1"/>
        <v>0</v>
      </c>
    </row>
    <row r="40" spans="1:11" s="29" customFormat="1" ht="25.5" hidden="1">
      <c r="A40" s="1919"/>
      <c r="B40" s="1917"/>
      <c r="C40" s="1918"/>
      <c r="D40" s="1248" t="s">
        <v>804</v>
      </c>
      <c r="E40" s="1244">
        <v>1</v>
      </c>
      <c r="F40" s="545">
        <v>2</v>
      </c>
      <c r="G40" s="545">
        <f t="shared" si="2"/>
        <v>2</v>
      </c>
      <c r="H40" s="545">
        <v>0</v>
      </c>
      <c r="I40" s="545">
        <f t="shared" si="0"/>
        <v>0</v>
      </c>
      <c r="J40" s="304"/>
      <c r="K40" s="1350">
        <f t="shared" si="1"/>
        <v>0</v>
      </c>
    </row>
    <row r="41" spans="1:11" s="29" customFormat="1" ht="25.5" hidden="1">
      <c r="A41" s="1919">
        <v>8</v>
      </c>
      <c r="B41" s="1917" t="s">
        <v>805</v>
      </c>
      <c r="C41" s="1918" t="s">
        <v>1651</v>
      </c>
      <c r="D41" s="1248" t="s">
        <v>44</v>
      </c>
      <c r="E41" s="1244">
        <v>1</v>
      </c>
      <c r="F41" s="545">
        <v>1</v>
      </c>
      <c r="G41" s="545">
        <f t="shared" si="2"/>
        <v>1</v>
      </c>
      <c r="H41" s="545">
        <v>0</v>
      </c>
      <c r="I41" s="545">
        <f t="shared" si="0"/>
        <v>0</v>
      </c>
      <c r="J41" s="304">
        <v>1500</v>
      </c>
      <c r="K41" s="1350">
        <f t="shared" si="1"/>
        <v>0</v>
      </c>
    </row>
    <row r="42" spans="1:11" s="29" customFormat="1" ht="25.5" hidden="1">
      <c r="A42" s="1919"/>
      <c r="B42" s="1917"/>
      <c r="C42" s="1918"/>
      <c r="D42" s="1248" t="s">
        <v>800</v>
      </c>
      <c r="E42" s="1244">
        <v>1</v>
      </c>
      <c r="F42" s="545">
        <v>1</v>
      </c>
      <c r="G42" s="545">
        <f t="shared" si="2"/>
        <v>1</v>
      </c>
      <c r="H42" s="545">
        <v>0</v>
      </c>
      <c r="I42" s="545">
        <f t="shared" si="0"/>
        <v>0</v>
      </c>
      <c r="J42" s="304">
        <v>1000</v>
      </c>
      <c r="K42" s="1350">
        <f t="shared" si="1"/>
        <v>0</v>
      </c>
    </row>
    <row r="43" spans="1:11" s="29" customFormat="1" ht="25.5" hidden="1">
      <c r="A43" s="1919"/>
      <c r="B43" s="1917"/>
      <c r="C43" s="1918"/>
      <c r="D43" s="1248" t="s">
        <v>806</v>
      </c>
      <c r="E43" s="1244">
        <v>1</v>
      </c>
      <c r="F43" s="545">
        <v>1</v>
      </c>
      <c r="G43" s="545">
        <f t="shared" si="2"/>
        <v>1</v>
      </c>
      <c r="H43" s="545">
        <v>0</v>
      </c>
      <c r="I43" s="545">
        <f t="shared" si="0"/>
        <v>0</v>
      </c>
      <c r="J43" s="304">
        <v>1000</v>
      </c>
      <c r="K43" s="1350">
        <f t="shared" si="1"/>
        <v>0</v>
      </c>
    </row>
    <row r="44" spans="1:11" s="29" customFormat="1" ht="25.5" hidden="1">
      <c r="A44" s="1919"/>
      <c r="B44" s="1917"/>
      <c r="C44" s="1918"/>
      <c r="D44" s="1248" t="s">
        <v>51</v>
      </c>
      <c r="E44" s="1244">
        <v>4</v>
      </c>
      <c r="F44" s="545">
        <v>1</v>
      </c>
      <c r="G44" s="545">
        <f t="shared" si="2"/>
        <v>4</v>
      </c>
      <c r="H44" s="545">
        <v>0</v>
      </c>
      <c r="I44" s="545">
        <f t="shared" si="0"/>
        <v>0</v>
      </c>
      <c r="J44" s="304">
        <v>36</v>
      </c>
      <c r="K44" s="1350">
        <f t="shared" si="1"/>
        <v>0</v>
      </c>
    </row>
    <row r="45" spans="1:11" s="29" customFormat="1" ht="25.5" hidden="1">
      <c r="A45" s="1919">
        <v>9</v>
      </c>
      <c r="B45" s="1917" t="s">
        <v>807</v>
      </c>
      <c r="C45" s="1918" t="s">
        <v>1652</v>
      </c>
      <c r="D45" s="1248" t="s">
        <v>808</v>
      </c>
      <c r="E45" s="1244">
        <v>1</v>
      </c>
      <c r="F45" s="545">
        <v>1</v>
      </c>
      <c r="G45" s="545">
        <f t="shared" si="2"/>
        <v>1</v>
      </c>
      <c r="H45" s="545">
        <v>0</v>
      </c>
      <c r="I45" s="545">
        <f t="shared" si="0"/>
        <v>0</v>
      </c>
      <c r="J45" s="304">
        <v>1000</v>
      </c>
      <c r="K45" s="1350">
        <f t="shared" si="1"/>
        <v>0</v>
      </c>
    </row>
    <row r="46" spans="1:11" s="29" customFormat="1" ht="25.5" hidden="1">
      <c r="A46" s="1919"/>
      <c r="B46" s="1917"/>
      <c r="C46" s="1918"/>
      <c r="D46" s="1248" t="s">
        <v>809</v>
      </c>
      <c r="E46" s="1244">
        <v>1</v>
      </c>
      <c r="F46" s="545">
        <v>1</v>
      </c>
      <c r="G46" s="545">
        <f t="shared" si="2"/>
        <v>1</v>
      </c>
      <c r="H46" s="545">
        <v>0</v>
      </c>
      <c r="I46" s="545">
        <f t="shared" si="0"/>
        <v>0</v>
      </c>
      <c r="J46" s="304">
        <v>57.75</v>
      </c>
      <c r="K46" s="1350">
        <f t="shared" si="1"/>
        <v>0</v>
      </c>
    </row>
    <row r="47" spans="1:11" s="29" customFormat="1" ht="25.5" hidden="1">
      <c r="A47" s="1919">
        <v>10</v>
      </c>
      <c r="B47" s="1917" t="s">
        <v>810</v>
      </c>
      <c r="C47" s="1918" t="s">
        <v>1650</v>
      </c>
      <c r="D47" s="1248" t="s">
        <v>811</v>
      </c>
      <c r="E47" s="1244">
        <v>3</v>
      </c>
      <c r="F47" s="545">
        <v>1</v>
      </c>
      <c r="G47" s="545">
        <f t="shared" si="2"/>
        <v>3</v>
      </c>
      <c r="H47" s="545">
        <v>0</v>
      </c>
      <c r="I47" s="545">
        <f t="shared" si="0"/>
        <v>0</v>
      </c>
      <c r="J47" s="304">
        <v>900</v>
      </c>
      <c r="K47" s="1350">
        <f t="shared" si="1"/>
        <v>0</v>
      </c>
    </row>
    <row r="48" spans="1:11" s="29" customFormat="1" ht="38.25" hidden="1">
      <c r="A48" s="1919"/>
      <c r="B48" s="1917"/>
      <c r="C48" s="1918"/>
      <c r="D48" s="1248" t="s">
        <v>812</v>
      </c>
      <c r="E48" s="1244">
        <v>2</v>
      </c>
      <c r="F48" s="545">
        <v>1</v>
      </c>
      <c r="G48" s="545">
        <f t="shared" si="2"/>
        <v>2</v>
      </c>
      <c r="H48" s="545">
        <v>0</v>
      </c>
      <c r="I48" s="545">
        <f t="shared" si="0"/>
        <v>0</v>
      </c>
      <c r="J48" s="304"/>
      <c r="K48" s="1350">
        <f t="shared" si="1"/>
        <v>0</v>
      </c>
    </row>
    <row r="49" spans="1:11" s="29" customFormat="1" ht="25.5" hidden="1">
      <c r="A49" s="1919">
        <v>11</v>
      </c>
      <c r="B49" s="1917" t="s">
        <v>813</v>
      </c>
      <c r="C49" s="1918" t="s">
        <v>1649</v>
      </c>
      <c r="D49" s="1248" t="s">
        <v>811</v>
      </c>
      <c r="E49" s="1244">
        <v>3</v>
      </c>
      <c r="F49" s="545">
        <v>1</v>
      </c>
      <c r="G49" s="545">
        <f t="shared" si="2"/>
        <v>3</v>
      </c>
      <c r="H49" s="545">
        <v>0</v>
      </c>
      <c r="I49" s="545">
        <f t="shared" si="0"/>
        <v>0</v>
      </c>
      <c r="J49" s="304">
        <v>900</v>
      </c>
      <c r="K49" s="1350">
        <f t="shared" si="1"/>
        <v>0</v>
      </c>
    </row>
    <row r="50" spans="1:11" s="29" customFormat="1" ht="51" hidden="1">
      <c r="A50" s="1919"/>
      <c r="B50" s="1917"/>
      <c r="C50" s="1918"/>
      <c r="D50" s="1248" t="s">
        <v>814</v>
      </c>
      <c r="E50" s="1244">
        <v>2</v>
      </c>
      <c r="F50" s="545">
        <v>1</v>
      </c>
      <c r="G50" s="545">
        <f t="shared" si="2"/>
        <v>2</v>
      </c>
      <c r="H50" s="545">
        <v>0</v>
      </c>
      <c r="I50" s="545">
        <f t="shared" si="0"/>
        <v>0</v>
      </c>
      <c r="J50" s="304"/>
      <c r="K50" s="1350">
        <f t="shared" si="1"/>
        <v>0</v>
      </c>
    </row>
    <row r="51" spans="1:11" s="29" customFormat="1" ht="38.25" hidden="1">
      <c r="A51" s="1919"/>
      <c r="B51" s="1917"/>
      <c r="C51" s="1918"/>
      <c r="D51" s="1248" t="s">
        <v>812</v>
      </c>
      <c r="E51" s="1244">
        <v>2</v>
      </c>
      <c r="F51" s="545">
        <v>1</v>
      </c>
      <c r="G51" s="545">
        <f t="shared" si="2"/>
        <v>2</v>
      </c>
      <c r="H51" s="545">
        <v>0</v>
      </c>
      <c r="I51" s="545">
        <f t="shared" si="0"/>
        <v>0</v>
      </c>
      <c r="J51" s="304"/>
      <c r="K51" s="1350">
        <f t="shared" si="1"/>
        <v>0</v>
      </c>
    </row>
    <row r="52" spans="1:11" s="29" customFormat="1" ht="25.5">
      <c r="A52" s="1919">
        <v>2</v>
      </c>
      <c r="B52" s="1917" t="s">
        <v>807</v>
      </c>
      <c r="C52" s="1918" t="s">
        <v>815</v>
      </c>
      <c r="D52" s="1248" t="s">
        <v>806</v>
      </c>
      <c r="E52" s="1244">
        <v>2</v>
      </c>
      <c r="F52" s="545">
        <v>2</v>
      </c>
      <c r="G52" s="545">
        <f t="shared" si="2"/>
        <v>4</v>
      </c>
      <c r="H52" s="545">
        <v>0</v>
      </c>
      <c r="I52" s="545">
        <f t="shared" si="0"/>
        <v>0</v>
      </c>
      <c r="J52" s="304">
        <v>0</v>
      </c>
      <c r="K52" s="1350">
        <f t="shared" si="1"/>
        <v>0</v>
      </c>
    </row>
    <row r="53" spans="1:11" s="29" customFormat="1" ht="25.5">
      <c r="A53" s="1919"/>
      <c r="B53" s="1917"/>
      <c r="C53" s="1918"/>
      <c r="D53" s="1248" t="s">
        <v>809</v>
      </c>
      <c r="E53" s="1244">
        <v>2</v>
      </c>
      <c r="F53" s="545">
        <v>2</v>
      </c>
      <c r="G53" s="545">
        <f t="shared" si="2"/>
        <v>4</v>
      </c>
      <c r="H53" s="545">
        <v>0</v>
      </c>
      <c r="I53" s="545">
        <f t="shared" si="0"/>
        <v>0</v>
      </c>
      <c r="J53" s="304">
        <v>0</v>
      </c>
      <c r="K53" s="1350">
        <f t="shared" si="1"/>
        <v>0</v>
      </c>
    </row>
    <row r="54" spans="1:11" ht="16.5" thickBot="1">
      <c r="A54" s="1928" t="s">
        <v>1516</v>
      </c>
      <c r="B54" s="1928"/>
      <c r="C54" s="1928"/>
      <c r="D54" s="1928"/>
      <c r="E54" s="1928"/>
      <c r="F54" s="1928"/>
      <c r="G54" s="1928"/>
      <c r="H54" s="1928"/>
      <c r="I54" s="1928"/>
      <c r="J54" s="1928"/>
      <c r="K54" s="1351">
        <f>SUM(K8:K53)</f>
        <v>17019.75</v>
      </c>
    </row>
    <row r="57" spans="1:11" s="207" customFormat="1" ht="15.75">
      <c r="B57" s="234" t="s">
        <v>1077</v>
      </c>
      <c r="C57" s="311"/>
      <c r="D57" s="507"/>
      <c r="E57" s="311"/>
      <c r="F57" s="311"/>
      <c r="G57" s="511"/>
      <c r="H57" s="311"/>
      <c r="I57" s="507" t="s">
        <v>816</v>
      </c>
      <c r="K57" s="311"/>
    </row>
    <row r="58" spans="1:11" s="207" customFormat="1" ht="31.5" customHeight="1">
      <c r="B58" s="221"/>
      <c r="C58" s="217"/>
      <c r="D58" s="523" t="s">
        <v>1078</v>
      </c>
      <c r="E58" s="523"/>
      <c r="F58" s="524"/>
      <c r="G58" s="533"/>
      <c r="H58" s="533"/>
      <c r="I58" s="524" t="s">
        <v>1079</v>
      </c>
      <c r="K58" s="509"/>
    </row>
    <row r="59" spans="1:11" s="207" customFormat="1" ht="15.75">
      <c r="B59" s="505" t="s">
        <v>1076</v>
      </c>
      <c r="C59" s="311"/>
      <c r="D59" s="529"/>
      <c r="E59" s="528"/>
      <c r="F59" s="528"/>
      <c r="G59" s="524"/>
      <c r="H59" s="528"/>
      <c r="I59" s="529" t="s">
        <v>817</v>
      </c>
      <c r="K59" s="311"/>
    </row>
    <row r="60" spans="1:11" s="207" customFormat="1" ht="31.5" customHeight="1">
      <c r="B60" s="221"/>
      <c r="C60" s="217"/>
      <c r="D60" s="523" t="s">
        <v>1078</v>
      </c>
      <c r="E60" s="523"/>
      <c r="F60" s="524"/>
      <c r="G60" s="533"/>
      <c r="H60" s="533"/>
      <c r="I60" s="524" t="s">
        <v>1079</v>
      </c>
      <c r="K60" s="509"/>
    </row>
  </sheetData>
  <customSheetViews>
    <customSheetView guid="{CA0FB9E2-E541-4C74-BCFE-D75491869B36}">
      <selection activeCell="I30" sqref="I30"/>
      <pageMargins left="0.19685039370078741" right="0.19685039370078741" top="0.19685039370078741" bottom="0.19685039370078741" header="0.51181102362204722" footer="0.51181102362204722"/>
      <printOptions horizontalCentered="1"/>
      <pageSetup paperSize="9" scale="80" orientation="landscape" r:id="rId1"/>
      <headerFooter alignWithMargins="0"/>
    </customSheetView>
    <customSheetView guid="{F10E3D8B-5892-420A-B023-68C6496D556B}">
      <selection activeCell="A2" sqref="A2:K2"/>
      <pageMargins left="0.19685039370078741" right="0.19685039370078741" top="0.19685039370078741" bottom="0.19685039370078741" header="0.51181102362204722" footer="0.51181102362204722"/>
      <printOptions horizontalCentered="1"/>
      <pageSetup paperSize="9" scale="80" orientation="landscape" r:id="rId2"/>
      <headerFooter alignWithMargins="0"/>
    </customSheetView>
    <customSheetView guid="{FE7E58EF-FECC-4DF6-BB75-BA97138CB219}">
      <selection activeCell="A2" sqref="A2:K2"/>
      <pageMargins left="0.19685039370078741" right="0.19685039370078741" top="0.19685039370078741" bottom="0.19685039370078741" header="0.51181102362204722" footer="0.51181102362204722"/>
      <printOptions horizontalCentered="1"/>
      <pageSetup paperSize="9" scale="80" orientation="landscape" r:id="rId3"/>
      <headerFooter alignWithMargins="0"/>
    </customSheetView>
    <customSheetView guid="{43136B00-66C6-4289-99D3-5EF20611F834}" showPageBreaks="1">
      <selection activeCell="L33" sqref="L33"/>
      <pageMargins left="0.19685039370078741" right="0.19685039370078741" top="0.19685039370078741" bottom="0.19685039370078741" header="0.51181102362204722" footer="0.51181102362204722"/>
      <printOptions horizontalCentered="1"/>
      <pageSetup paperSize="9" scale="80" orientation="landscape" r:id="rId4"/>
      <headerFooter alignWithMargins="0"/>
    </customSheetView>
    <customSheetView guid="{22820B9F-10DE-4629-AF3D-4AF98A9BCEDB}" topLeftCell="A4">
      <selection activeCell="A22" sqref="A22:IV25"/>
      <pageMargins left="0.19685039370078741" right="0.19685039370078741" top="0.19685039370078741" bottom="0.19685039370078741" header="0.51181102362204722" footer="0.51181102362204722"/>
      <printOptions horizontalCentered="1"/>
      <pageSetup paperSize="9" scale="80" orientation="landscape" r:id="rId5"/>
      <headerFooter alignWithMargins="0"/>
    </customSheetView>
  </customSheetViews>
  <mergeCells count="49">
    <mergeCell ref="A3:K3"/>
    <mergeCell ref="A4:K4"/>
    <mergeCell ref="A5:A6"/>
    <mergeCell ref="B5:B6"/>
    <mergeCell ref="C5:C6"/>
    <mergeCell ref="D5:D6"/>
    <mergeCell ref="E5:E6"/>
    <mergeCell ref="I5:I6"/>
    <mergeCell ref="K5:K6"/>
    <mergeCell ref="J5:J6"/>
    <mergeCell ref="A38:A40"/>
    <mergeCell ref="F5:F6"/>
    <mergeCell ref="G5:H5"/>
    <mergeCell ref="A54:J54"/>
    <mergeCell ref="A8:A11"/>
    <mergeCell ref="B8:B11"/>
    <mergeCell ref="C8:C11"/>
    <mergeCell ref="B19:B22"/>
    <mergeCell ref="C19:C22"/>
    <mergeCell ref="B38:B40"/>
    <mergeCell ref="B12:B18"/>
    <mergeCell ref="A12:A18"/>
    <mergeCell ref="A19:A22"/>
    <mergeCell ref="C12:C18"/>
    <mergeCell ref="B41:B44"/>
    <mergeCell ref="C41:C44"/>
    <mergeCell ref="B23:B26"/>
    <mergeCell ref="A23:A26"/>
    <mergeCell ref="A27:A31"/>
    <mergeCell ref="A32:A37"/>
    <mergeCell ref="B47:B48"/>
    <mergeCell ref="B52:B53"/>
    <mergeCell ref="C47:C48"/>
    <mergeCell ref="C23:C26"/>
    <mergeCell ref="B27:B31"/>
    <mergeCell ref="C27:C31"/>
    <mergeCell ref="B32:B37"/>
    <mergeCell ref="C32:C37"/>
    <mergeCell ref="C38:C40"/>
    <mergeCell ref="B49:B51"/>
    <mergeCell ref="C49:C51"/>
    <mergeCell ref="C52:C53"/>
    <mergeCell ref="A52:A53"/>
    <mergeCell ref="A41:A44"/>
    <mergeCell ref="A45:A46"/>
    <mergeCell ref="A47:A48"/>
    <mergeCell ref="A49:A51"/>
    <mergeCell ref="B45:B46"/>
    <mergeCell ref="C45:C46"/>
  </mergeCells>
  <phoneticPr fontId="116" type="noConversion"/>
  <printOptions horizontalCentered="1"/>
  <pageMargins left="0.19685039370078741" right="0.19685039370078741" top="0.19685039370078741" bottom="0.19685039370078741" header="0.51181102362204722" footer="0.51181102362204722"/>
  <pageSetup paperSize="9" scale="80" orientation="landscape" r:id="rId6"/>
  <headerFooter alignWithMargins="0"/>
</worksheet>
</file>

<file path=xl/worksheets/sheet46.xml><?xml version="1.0" encoding="utf-8"?>
<worksheet xmlns="http://schemas.openxmlformats.org/spreadsheetml/2006/main" xmlns:r="http://schemas.openxmlformats.org/officeDocument/2006/relationships">
  <sheetPr>
    <tabColor rgb="FF7030A0"/>
  </sheetPr>
  <dimension ref="A1:K60"/>
  <sheetViews>
    <sheetView view="pageBreakPreview" topLeftCell="A49" zoomScale="86" zoomScaleNormal="100" zoomScaleSheetLayoutView="86" workbookViewId="0">
      <selection activeCell="F5" sqref="F5:F6"/>
    </sheetView>
  </sheetViews>
  <sheetFormatPr defaultColWidth="17.85546875" defaultRowHeight="15"/>
  <cols>
    <col min="1" max="1" width="7" style="26" customWidth="1"/>
    <col min="2" max="2" width="17" style="26" customWidth="1"/>
    <col min="3" max="3" width="25.42578125" style="21" customWidth="1"/>
    <col min="4" max="4" width="21.140625" style="26" customWidth="1"/>
    <col min="5" max="5" width="13" style="26" customWidth="1"/>
    <col min="6" max="6" width="12.140625" style="26" customWidth="1"/>
    <col min="7" max="8" width="11.140625" style="26" customWidth="1"/>
    <col min="9" max="9" width="17.85546875" style="26" customWidth="1"/>
    <col min="10" max="10" width="13.42578125" style="26" customWidth="1"/>
    <col min="11" max="11" width="15.5703125" style="72" customWidth="1"/>
    <col min="12" max="16384" width="17.85546875" style="26"/>
  </cols>
  <sheetData>
    <row r="1" spans="1:11" ht="21.75" customHeight="1">
      <c r="K1" s="209" t="s">
        <v>965</v>
      </c>
    </row>
    <row r="2" spans="1:11">
      <c r="K2" s="32"/>
    </row>
    <row r="3" spans="1:11" ht="15.75">
      <c r="A3" s="1809" t="s">
        <v>1723</v>
      </c>
      <c r="B3" s="1809"/>
      <c r="C3" s="1936"/>
      <c r="D3" s="1936"/>
      <c r="E3" s="1936"/>
      <c r="F3" s="1936"/>
      <c r="G3" s="1936"/>
      <c r="H3" s="1936"/>
      <c r="I3" s="1936"/>
      <c r="J3" s="1936"/>
      <c r="K3" s="1936"/>
    </row>
    <row r="4" spans="1:11" ht="42" customHeight="1">
      <c r="A4" s="1937" t="s">
        <v>126</v>
      </c>
      <c r="B4" s="1937"/>
      <c r="C4" s="1938"/>
      <c r="D4" s="1938"/>
      <c r="E4" s="1938"/>
      <c r="F4" s="1938"/>
      <c r="G4" s="1938"/>
      <c r="H4" s="1938"/>
      <c r="I4" s="1938"/>
      <c r="J4" s="1938"/>
      <c r="K4" s="1938"/>
    </row>
    <row r="5" spans="1:11" ht="33" customHeight="1">
      <c r="A5" s="1927" t="s">
        <v>1267</v>
      </c>
      <c r="B5" s="1927" t="s">
        <v>1511</v>
      </c>
      <c r="C5" s="1927" t="s">
        <v>1512</v>
      </c>
      <c r="D5" s="1927" t="s">
        <v>218</v>
      </c>
      <c r="E5" s="1927" t="s">
        <v>1513</v>
      </c>
      <c r="F5" s="1927" t="s">
        <v>1514</v>
      </c>
      <c r="G5" s="1927" t="s">
        <v>1515</v>
      </c>
      <c r="H5" s="1927"/>
      <c r="I5" s="1927" t="s">
        <v>1034</v>
      </c>
      <c r="J5" s="1927" t="s">
        <v>223</v>
      </c>
      <c r="K5" s="1939" t="s">
        <v>1035</v>
      </c>
    </row>
    <row r="6" spans="1:11" ht="87" customHeight="1">
      <c r="A6" s="1927"/>
      <c r="B6" s="1927"/>
      <c r="C6" s="1927"/>
      <c r="D6" s="1927"/>
      <c r="E6" s="1927"/>
      <c r="F6" s="1927"/>
      <c r="G6" s="237" t="s">
        <v>66</v>
      </c>
      <c r="H6" s="237" t="s">
        <v>132</v>
      </c>
      <c r="I6" s="1927"/>
      <c r="J6" s="1927"/>
      <c r="K6" s="1939"/>
    </row>
    <row r="7" spans="1:11" s="1253" customFormat="1" ht="15.75">
      <c r="A7" s="228">
        <v>1</v>
      </c>
      <c r="B7" s="228">
        <v>2</v>
      </c>
      <c r="C7" s="228">
        <v>3</v>
      </c>
      <c r="D7" s="228">
        <v>4</v>
      </c>
      <c r="E7" s="228">
        <v>5</v>
      </c>
      <c r="F7" s="228">
        <v>6</v>
      </c>
      <c r="G7" s="228">
        <v>7</v>
      </c>
      <c r="H7" s="228">
        <v>8</v>
      </c>
      <c r="I7" s="228">
        <v>9</v>
      </c>
      <c r="J7" s="228">
        <v>10</v>
      </c>
      <c r="K7" s="1352">
        <v>11</v>
      </c>
    </row>
    <row r="8" spans="1:11" s="1353" customFormat="1" ht="15.75">
      <c r="A8" s="1930">
        <v>1</v>
      </c>
      <c r="B8" s="1917" t="s">
        <v>687</v>
      </c>
      <c r="C8" s="1918" t="s">
        <v>688</v>
      </c>
      <c r="D8" s="1248" t="s">
        <v>689</v>
      </c>
      <c r="E8" s="1244">
        <v>1</v>
      </c>
      <c r="F8" s="1244">
        <v>9</v>
      </c>
      <c r="G8" s="545">
        <f>E8*F8</f>
        <v>9</v>
      </c>
      <c r="H8" s="545">
        <f>G8</f>
        <v>9</v>
      </c>
      <c r="I8" s="545">
        <f>E8*F8-G8+H8</f>
        <v>9</v>
      </c>
      <c r="J8" s="304">
        <v>1000</v>
      </c>
      <c r="K8" s="1350">
        <f>I8*J8</f>
        <v>9000</v>
      </c>
    </row>
    <row r="9" spans="1:11" s="1353" customFormat="1" ht="25.5">
      <c r="A9" s="1930"/>
      <c r="B9" s="1917"/>
      <c r="C9" s="1918"/>
      <c r="D9" s="1246" t="s">
        <v>690</v>
      </c>
      <c r="E9" s="1244">
        <v>6</v>
      </c>
      <c r="F9" s="1244">
        <v>9</v>
      </c>
      <c r="G9" s="545">
        <f t="shared" ref="G9:G53" si="0">E9*F9</f>
        <v>54</v>
      </c>
      <c r="H9" s="545">
        <f t="shared" ref="H9:H49" si="1">G9</f>
        <v>54</v>
      </c>
      <c r="I9" s="545">
        <f t="shared" ref="I9:I53" si="2">E9*F9-G9+H9</f>
        <v>54</v>
      </c>
      <c r="J9" s="304">
        <v>200</v>
      </c>
      <c r="K9" s="1350">
        <f t="shared" ref="K9:K53" si="3">I9*J9</f>
        <v>10800</v>
      </c>
    </row>
    <row r="10" spans="1:11" s="1353" customFormat="1" ht="15.75">
      <c r="A10" s="1930"/>
      <c r="B10" s="1917"/>
      <c r="C10" s="1918"/>
      <c r="D10" s="1246" t="s">
        <v>691</v>
      </c>
      <c r="E10" s="1244">
        <v>2</v>
      </c>
      <c r="F10" s="1244">
        <v>9</v>
      </c>
      <c r="G10" s="545">
        <f t="shared" si="0"/>
        <v>18</v>
      </c>
      <c r="H10" s="545">
        <f t="shared" si="1"/>
        <v>18</v>
      </c>
      <c r="I10" s="545">
        <f t="shared" si="2"/>
        <v>18</v>
      </c>
      <c r="J10" s="304">
        <v>25</v>
      </c>
      <c r="K10" s="1350">
        <f t="shared" si="3"/>
        <v>450</v>
      </c>
    </row>
    <row r="11" spans="1:11" s="1353" customFormat="1" ht="15.75">
      <c r="A11" s="1930"/>
      <c r="B11" s="1917"/>
      <c r="C11" s="1918"/>
      <c r="D11" s="1246" t="s">
        <v>692</v>
      </c>
      <c r="E11" s="1244">
        <v>1</v>
      </c>
      <c r="F11" s="1244">
        <v>5</v>
      </c>
      <c r="G11" s="545">
        <f t="shared" si="0"/>
        <v>5</v>
      </c>
      <c r="H11" s="545">
        <f t="shared" si="1"/>
        <v>5</v>
      </c>
      <c r="I11" s="545">
        <f t="shared" si="2"/>
        <v>5</v>
      </c>
      <c r="J11" s="304">
        <v>800</v>
      </c>
      <c r="K11" s="1350">
        <f t="shared" si="3"/>
        <v>4000</v>
      </c>
    </row>
    <row r="12" spans="1:11" s="1353" customFormat="1" ht="25.5">
      <c r="A12" s="1940">
        <v>2</v>
      </c>
      <c r="B12" s="1917" t="s">
        <v>42</v>
      </c>
      <c r="C12" s="1918" t="s">
        <v>1659</v>
      </c>
      <c r="D12" s="1248" t="s">
        <v>43</v>
      </c>
      <c r="E12" s="1244">
        <v>1</v>
      </c>
      <c r="F12" s="545">
        <v>2</v>
      </c>
      <c r="G12" s="545">
        <f t="shared" si="0"/>
        <v>2</v>
      </c>
      <c r="H12" s="545">
        <f t="shared" si="1"/>
        <v>2</v>
      </c>
      <c r="I12" s="545">
        <f t="shared" si="2"/>
        <v>2</v>
      </c>
      <c r="J12" s="304">
        <v>1000</v>
      </c>
      <c r="K12" s="1350">
        <f t="shared" si="3"/>
        <v>2000</v>
      </c>
    </row>
    <row r="13" spans="1:11" s="1353" customFormat="1" ht="25.5">
      <c r="A13" s="1940"/>
      <c r="B13" s="1917"/>
      <c r="C13" s="1918"/>
      <c r="D13" s="1248" t="s">
        <v>44</v>
      </c>
      <c r="E13" s="1244">
        <v>1</v>
      </c>
      <c r="F13" s="545">
        <v>2</v>
      </c>
      <c r="G13" s="545">
        <f t="shared" si="0"/>
        <v>2</v>
      </c>
      <c r="H13" s="545">
        <f t="shared" si="1"/>
        <v>2</v>
      </c>
      <c r="I13" s="545">
        <f t="shared" si="2"/>
        <v>2</v>
      </c>
      <c r="J13" s="304">
        <v>1500</v>
      </c>
      <c r="K13" s="1350">
        <f t="shared" si="3"/>
        <v>3000</v>
      </c>
    </row>
    <row r="14" spans="1:11" s="1353" customFormat="1" ht="38.25">
      <c r="A14" s="1940"/>
      <c r="B14" s="1917"/>
      <c r="C14" s="1918"/>
      <c r="D14" s="1248" t="s">
        <v>45</v>
      </c>
      <c r="E14" s="1244">
        <v>1</v>
      </c>
      <c r="F14" s="545">
        <v>2</v>
      </c>
      <c r="G14" s="545">
        <f t="shared" si="0"/>
        <v>2</v>
      </c>
      <c r="H14" s="545">
        <f t="shared" si="1"/>
        <v>2</v>
      </c>
      <c r="I14" s="545">
        <f t="shared" si="2"/>
        <v>2</v>
      </c>
      <c r="J14" s="304">
        <v>1000</v>
      </c>
      <c r="K14" s="1350">
        <f t="shared" si="3"/>
        <v>2000</v>
      </c>
    </row>
    <row r="15" spans="1:11" s="1353" customFormat="1" ht="25.5">
      <c r="A15" s="1940"/>
      <c r="B15" s="1917"/>
      <c r="C15" s="1918"/>
      <c r="D15" s="1248" t="s">
        <v>46</v>
      </c>
      <c r="E15" s="1244">
        <v>1</v>
      </c>
      <c r="F15" s="545">
        <v>2</v>
      </c>
      <c r="G15" s="545">
        <f t="shared" si="0"/>
        <v>2</v>
      </c>
      <c r="H15" s="545">
        <f t="shared" si="1"/>
        <v>2</v>
      </c>
      <c r="I15" s="545">
        <f t="shared" si="2"/>
        <v>2</v>
      </c>
      <c r="J15" s="304">
        <v>2600</v>
      </c>
      <c r="K15" s="1350">
        <f t="shared" si="3"/>
        <v>5200</v>
      </c>
    </row>
    <row r="16" spans="1:11" s="1353" customFormat="1" ht="15.75">
      <c r="A16" s="1940"/>
      <c r="B16" s="1917"/>
      <c r="C16" s="1918"/>
      <c r="D16" s="1248" t="s">
        <v>47</v>
      </c>
      <c r="E16" s="1244">
        <v>1</v>
      </c>
      <c r="F16" s="545">
        <v>2</v>
      </c>
      <c r="G16" s="545">
        <f t="shared" si="0"/>
        <v>2</v>
      </c>
      <c r="H16" s="545">
        <f t="shared" si="1"/>
        <v>2</v>
      </c>
      <c r="I16" s="545">
        <f t="shared" si="2"/>
        <v>2</v>
      </c>
      <c r="J16" s="304">
        <v>0</v>
      </c>
      <c r="K16" s="1350">
        <f t="shared" si="3"/>
        <v>0</v>
      </c>
    </row>
    <row r="17" spans="1:11" s="1353" customFormat="1" ht="38.25">
      <c r="A17" s="1940"/>
      <c r="B17" s="1917"/>
      <c r="C17" s="1918"/>
      <c r="D17" s="1246" t="s">
        <v>48</v>
      </c>
      <c r="E17" s="1244">
        <v>1</v>
      </c>
      <c r="F17" s="545">
        <v>2</v>
      </c>
      <c r="G17" s="545">
        <f t="shared" si="0"/>
        <v>2</v>
      </c>
      <c r="H17" s="545">
        <v>0</v>
      </c>
      <c r="I17" s="545">
        <f t="shared" si="2"/>
        <v>0</v>
      </c>
      <c r="J17" s="304">
        <v>0</v>
      </c>
      <c r="K17" s="1350">
        <f t="shared" si="3"/>
        <v>0</v>
      </c>
    </row>
    <row r="18" spans="1:11" s="1353" customFormat="1" ht="25.5">
      <c r="A18" s="1940"/>
      <c r="B18" s="1917"/>
      <c r="C18" s="1918"/>
      <c r="D18" s="1246" t="s">
        <v>690</v>
      </c>
      <c r="E18" s="1244">
        <v>6</v>
      </c>
      <c r="F18" s="545">
        <v>2</v>
      </c>
      <c r="G18" s="545">
        <f t="shared" si="0"/>
        <v>12</v>
      </c>
      <c r="H18" s="545">
        <f t="shared" si="1"/>
        <v>12</v>
      </c>
      <c r="I18" s="545">
        <f t="shared" si="2"/>
        <v>12</v>
      </c>
      <c r="J18" s="304">
        <v>200</v>
      </c>
      <c r="K18" s="1350">
        <f t="shared" si="3"/>
        <v>2400</v>
      </c>
    </row>
    <row r="19" spans="1:11" s="1353" customFormat="1" ht="36" customHeight="1">
      <c r="A19" s="1940">
        <v>3</v>
      </c>
      <c r="B19" s="1917" t="s">
        <v>49</v>
      </c>
      <c r="C19" s="1918" t="s">
        <v>50</v>
      </c>
      <c r="D19" s="1248" t="s">
        <v>43</v>
      </c>
      <c r="E19" s="1244">
        <v>1</v>
      </c>
      <c r="F19" s="545">
        <v>1</v>
      </c>
      <c r="G19" s="545">
        <f t="shared" si="0"/>
        <v>1</v>
      </c>
      <c r="H19" s="545">
        <f t="shared" si="1"/>
        <v>1</v>
      </c>
      <c r="I19" s="545">
        <f t="shared" si="2"/>
        <v>1</v>
      </c>
      <c r="J19" s="304">
        <v>1000</v>
      </c>
      <c r="K19" s="1350">
        <f t="shared" si="3"/>
        <v>1000</v>
      </c>
    </row>
    <row r="20" spans="1:11" s="1353" customFormat="1" ht="15.75">
      <c r="A20" s="1940"/>
      <c r="B20" s="1917"/>
      <c r="C20" s="1918"/>
      <c r="D20" s="1248" t="s">
        <v>692</v>
      </c>
      <c r="E20" s="1244">
        <v>1</v>
      </c>
      <c r="F20" s="545">
        <v>1</v>
      </c>
      <c r="G20" s="545">
        <f t="shared" si="0"/>
        <v>1</v>
      </c>
      <c r="H20" s="545">
        <f t="shared" si="1"/>
        <v>1</v>
      </c>
      <c r="I20" s="545">
        <f t="shared" si="2"/>
        <v>1</v>
      </c>
      <c r="J20" s="304">
        <v>800</v>
      </c>
      <c r="K20" s="1350">
        <f t="shared" si="3"/>
        <v>800</v>
      </c>
    </row>
    <row r="21" spans="1:11" s="1353" customFormat="1" ht="38.25" customHeight="1">
      <c r="A21" s="1940"/>
      <c r="B21" s="1917"/>
      <c r="C21" s="1918"/>
      <c r="D21" s="1248" t="s">
        <v>51</v>
      </c>
      <c r="E21" s="1244">
        <v>4</v>
      </c>
      <c r="F21" s="545">
        <v>1</v>
      </c>
      <c r="G21" s="545">
        <f t="shared" si="0"/>
        <v>4</v>
      </c>
      <c r="H21" s="545">
        <f t="shared" si="1"/>
        <v>4</v>
      </c>
      <c r="I21" s="545">
        <f t="shared" si="2"/>
        <v>4</v>
      </c>
      <c r="J21" s="304">
        <v>36</v>
      </c>
      <c r="K21" s="1350">
        <f t="shared" si="3"/>
        <v>144</v>
      </c>
    </row>
    <row r="22" spans="1:11" s="1353" customFormat="1" ht="54" customHeight="1">
      <c r="A22" s="1940"/>
      <c r="B22" s="1917"/>
      <c r="C22" s="1918"/>
      <c r="D22" s="1246" t="s">
        <v>48</v>
      </c>
      <c r="E22" s="1244">
        <v>2</v>
      </c>
      <c r="F22" s="545">
        <v>1</v>
      </c>
      <c r="G22" s="545">
        <f t="shared" si="0"/>
        <v>2</v>
      </c>
      <c r="H22" s="545">
        <v>0</v>
      </c>
      <c r="I22" s="545">
        <f t="shared" si="2"/>
        <v>0</v>
      </c>
      <c r="J22" s="304">
        <v>0</v>
      </c>
      <c r="K22" s="1350">
        <f t="shared" si="3"/>
        <v>0</v>
      </c>
    </row>
    <row r="23" spans="1:11" s="1353" customFormat="1" ht="38.25">
      <c r="A23" s="1919">
        <v>4</v>
      </c>
      <c r="B23" s="1917" t="s">
        <v>52</v>
      </c>
      <c r="C23" s="1918" t="s">
        <v>53</v>
      </c>
      <c r="D23" s="1246" t="s">
        <v>54</v>
      </c>
      <c r="E23" s="1244">
        <v>3</v>
      </c>
      <c r="F23" s="545">
        <v>3</v>
      </c>
      <c r="G23" s="545">
        <f t="shared" si="0"/>
        <v>9</v>
      </c>
      <c r="H23" s="545">
        <f t="shared" si="1"/>
        <v>9</v>
      </c>
      <c r="I23" s="545">
        <f t="shared" si="2"/>
        <v>9</v>
      </c>
      <c r="J23" s="304">
        <v>57.75</v>
      </c>
      <c r="K23" s="1350">
        <f t="shared" si="3"/>
        <v>519.75</v>
      </c>
    </row>
    <row r="24" spans="1:11" s="1353" customFormat="1" ht="51">
      <c r="A24" s="1919"/>
      <c r="B24" s="1917"/>
      <c r="C24" s="1918"/>
      <c r="D24" s="1248" t="s">
        <v>55</v>
      </c>
      <c r="E24" s="1244">
        <v>3</v>
      </c>
      <c r="F24" s="545">
        <v>3</v>
      </c>
      <c r="G24" s="545">
        <f t="shared" si="0"/>
        <v>9</v>
      </c>
      <c r="H24" s="545">
        <f t="shared" si="1"/>
        <v>9</v>
      </c>
      <c r="I24" s="545">
        <f t="shared" si="2"/>
        <v>9</v>
      </c>
      <c r="J24" s="304">
        <v>1500</v>
      </c>
      <c r="K24" s="1350">
        <f t="shared" si="3"/>
        <v>13500</v>
      </c>
    </row>
    <row r="25" spans="1:11" s="1353" customFormat="1" ht="25.5">
      <c r="A25" s="1919"/>
      <c r="B25" s="1917"/>
      <c r="C25" s="1918"/>
      <c r="D25" s="1248" t="s">
        <v>56</v>
      </c>
      <c r="E25" s="1244">
        <v>3</v>
      </c>
      <c r="F25" s="545">
        <v>3</v>
      </c>
      <c r="G25" s="545">
        <f t="shared" si="0"/>
        <v>9</v>
      </c>
      <c r="H25" s="545">
        <v>0</v>
      </c>
      <c r="I25" s="545">
        <f t="shared" si="2"/>
        <v>0</v>
      </c>
      <c r="J25" s="304">
        <v>0</v>
      </c>
      <c r="K25" s="1350">
        <f t="shared" si="3"/>
        <v>0</v>
      </c>
    </row>
    <row r="26" spans="1:11" s="1353" customFormat="1" ht="51">
      <c r="A26" s="1919"/>
      <c r="B26" s="1917"/>
      <c r="C26" s="1918"/>
      <c r="D26" s="1248" t="s">
        <v>57</v>
      </c>
      <c r="E26" s="1244">
        <v>2</v>
      </c>
      <c r="F26" s="545">
        <v>3</v>
      </c>
      <c r="G26" s="545">
        <f t="shared" si="0"/>
        <v>6</v>
      </c>
      <c r="H26" s="545">
        <f t="shared" si="1"/>
        <v>6</v>
      </c>
      <c r="I26" s="545">
        <f t="shared" si="2"/>
        <v>6</v>
      </c>
      <c r="J26" s="304">
        <v>500</v>
      </c>
      <c r="K26" s="1350">
        <f t="shared" si="3"/>
        <v>3000</v>
      </c>
    </row>
    <row r="27" spans="1:11" s="1353" customFormat="1" ht="25.5">
      <c r="A27" s="1919">
        <v>5</v>
      </c>
      <c r="B27" s="1917" t="s">
        <v>788</v>
      </c>
      <c r="C27" s="1918" t="s">
        <v>789</v>
      </c>
      <c r="D27" s="1248" t="s">
        <v>790</v>
      </c>
      <c r="E27" s="1244">
        <v>1</v>
      </c>
      <c r="F27" s="545">
        <v>1</v>
      </c>
      <c r="G27" s="545">
        <f t="shared" si="0"/>
        <v>1</v>
      </c>
      <c r="H27" s="545">
        <f t="shared" si="1"/>
        <v>1</v>
      </c>
      <c r="I27" s="545">
        <f t="shared" si="2"/>
        <v>1</v>
      </c>
      <c r="J27" s="304">
        <v>1000</v>
      </c>
      <c r="K27" s="1350">
        <f t="shared" si="3"/>
        <v>1000</v>
      </c>
    </row>
    <row r="28" spans="1:11" s="1353" customFormat="1" ht="15.75">
      <c r="A28" s="1919"/>
      <c r="B28" s="1917"/>
      <c r="C28" s="1918"/>
      <c r="D28" s="1248" t="s">
        <v>791</v>
      </c>
      <c r="E28" s="1244">
        <v>1</v>
      </c>
      <c r="F28" s="545">
        <v>1</v>
      </c>
      <c r="G28" s="545">
        <f t="shared" si="0"/>
        <v>1</v>
      </c>
      <c r="H28" s="545">
        <f t="shared" si="1"/>
        <v>1</v>
      </c>
      <c r="I28" s="545">
        <f t="shared" si="2"/>
        <v>1</v>
      </c>
      <c r="J28" s="304">
        <v>2600</v>
      </c>
      <c r="K28" s="1350">
        <f t="shared" si="3"/>
        <v>2600</v>
      </c>
    </row>
    <row r="29" spans="1:11" s="1353" customFormat="1" ht="25.5">
      <c r="A29" s="1919"/>
      <c r="B29" s="1917"/>
      <c r="C29" s="1918"/>
      <c r="D29" s="1248" t="s">
        <v>792</v>
      </c>
      <c r="E29" s="1244">
        <v>4</v>
      </c>
      <c r="F29" s="545">
        <v>1</v>
      </c>
      <c r="G29" s="545">
        <f t="shared" si="0"/>
        <v>4</v>
      </c>
      <c r="H29" s="545">
        <f t="shared" si="1"/>
        <v>4</v>
      </c>
      <c r="I29" s="545">
        <f t="shared" si="2"/>
        <v>4</v>
      </c>
      <c r="J29" s="304">
        <v>200</v>
      </c>
      <c r="K29" s="1350">
        <f t="shared" si="3"/>
        <v>800</v>
      </c>
    </row>
    <row r="30" spans="1:11" s="1353" customFormat="1" ht="25.5">
      <c r="A30" s="1919"/>
      <c r="B30" s="1917"/>
      <c r="C30" s="1918"/>
      <c r="D30" s="1248" t="s">
        <v>793</v>
      </c>
      <c r="E30" s="1244">
        <v>1</v>
      </c>
      <c r="F30" s="545">
        <v>1</v>
      </c>
      <c r="G30" s="545">
        <f t="shared" si="0"/>
        <v>1</v>
      </c>
      <c r="H30" s="545">
        <v>0</v>
      </c>
      <c r="I30" s="545">
        <f t="shared" si="2"/>
        <v>0</v>
      </c>
      <c r="J30" s="304">
        <v>0</v>
      </c>
      <c r="K30" s="1350">
        <f t="shared" si="3"/>
        <v>0</v>
      </c>
    </row>
    <row r="31" spans="1:11" s="1353" customFormat="1" ht="25.5">
      <c r="A31" s="1919"/>
      <c r="B31" s="1917"/>
      <c r="C31" s="1918"/>
      <c r="D31" s="1248" t="s">
        <v>794</v>
      </c>
      <c r="E31" s="1244">
        <v>1</v>
      </c>
      <c r="F31" s="545">
        <v>1</v>
      </c>
      <c r="G31" s="545">
        <f t="shared" si="0"/>
        <v>1</v>
      </c>
      <c r="H31" s="545">
        <v>0</v>
      </c>
      <c r="I31" s="545">
        <f t="shared" si="2"/>
        <v>0</v>
      </c>
      <c r="J31" s="304">
        <v>0</v>
      </c>
      <c r="K31" s="1350">
        <f t="shared" si="3"/>
        <v>0</v>
      </c>
    </row>
    <row r="32" spans="1:11" s="1353" customFormat="1" ht="34.5" customHeight="1">
      <c r="A32" s="1919">
        <v>6</v>
      </c>
      <c r="B32" s="1917" t="s">
        <v>795</v>
      </c>
      <c r="C32" s="1918" t="s">
        <v>1653</v>
      </c>
      <c r="D32" s="1248" t="s">
        <v>796</v>
      </c>
      <c r="E32" s="1244">
        <v>1</v>
      </c>
      <c r="F32" s="545">
        <v>10</v>
      </c>
      <c r="G32" s="545">
        <f t="shared" si="0"/>
        <v>10</v>
      </c>
      <c r="H32" s="545">
        <f t="shared" si="1"/>
        <v>10</v>
      </c>
      <c r="I32" s="545">
        <f t="shared" si="2"/>
        <v>10</v>
      </c>
      <c r="J32" s="304">
        <v>1000</v>
      </c>
      <c r="K32" s="1350">
        <f t="shared" si="3"/>
        <v>10000</v>
      </c>
    </row>
    <row r="33" spans="1:11" s="1353" customFormat="1" ht="58.5" customHeight="1">
      <c r="A33" s="1919"/>
      <c r="B33" s="1917"/>
      <c r="C33" s="1918"/>
      <c r="D33" s="1248" t="s">
        <v>797</v>
      </c>
      <c r="E33" s="1244">
        <v>1</v>
      </c>
      <c r="F33" s="545">
        <v>10</v>
      </c>
      <c r="G33" s="545">
        <f t="shared" si="0"/>
        <v>10</v>
      </c>
      <c r="H33" s="545">
        <f t="shared" si="1"/>
        <v>10</v>
      </c>
      <c r="I33" s="545">
        <f t="shared" si="2"/>
        <v>10</v>
      </c>
      <c r="J33" s="304">
        <v>0</v>
      </c>
      <c r="K33" s="1350">
        <f t="shared" si="3"/>
        <v>0</v>
      </c>
    </row>
    <row r="34" spans="1:11" s="1353" customFormat="1" ht="25.5">
      <c r="A34" s="1919"/>
      <c r="B34" s="1917"/>
      <c r="C34" s="1918"/>
      <c r="D34" s="1248" t="s">
        <v>44</v>
      </c>
      <c r="E34" s="1244">
        <v>1</v>
      </c>
      <c r="F34" s="545">
        <v>10</v>
      </c>
      <c r="G34" s="545">
        <f t="shared" si="0"/>
        <v>10</v>
      </c>
      <c r="H34" s="545">
        <f t="shared" si="1"/>
        <v>10</v>
      </c>
      <c r="I34" s="545">
        <f t="shared" si="2"/>
        <v>10</v>
      </c>
      <c r="J34" s="304">
        <v>1500</v>
      </c>
      <c r="K34" s="1350">
        <f t="shared" si="3"/>
        <v>15000</v>
      </c>
    </row>
    <row r="35" spans="1:11" s="1353" customFormat="1" ht="33" customHeight="1">
      <c r="A35" s="1919"/>
      <c r="B35" s="1917"/>
      <c r="C35" s="1918"/>
      <c r="D35" s="1248" t="s">
        <v>798</v>
      </c>
      <c r="E35" s="1244">
        <v>1</v>
      </c>
      <c r="F35" s="545">
        <v>10</v>
      </c>
      <c r="G35" s="545">
        <f t="shared" si="0"/>
        <v>10</v>
      </c>
      <c r="H35" s="545">
        <v>0</v>
      </c>
      <c r="I35" s="545">
        <f t="shared" si="2"/>
        <v>0</v>
      </c>
      <c r="J35" s="304">
        <v>0</v>
      </c>
      <c r="K35" s="1350">
        <f t="shared" si="3"/>
        <v>0</v>
      </c>
    </row>
    <row r="36" spans="1:11" s="1353" customFormat="1" ht="25.5">
      <c r="A36" s="1919"/>
      <c r="B36" s="1917"/>
      <c r="C36" s="1918"/>
      <c r="D36" s="1248" t="s">
        <v>799</v>
      </c>
      <c r="E36" s="1244">
        <v>1</v>
      </c>
      <c r="F36" s="545">
        <v>1</v>
      </c>
      <c r="G36" s="545">
        <f t="shared" si="0"/>
        <v>1</v>
      </c>
      <c r="H36" s="545">
        <v>0</v>
      </c>
      <c r="I36" s="545">
        <f t="shared" si="2"/>
        <v>0</v>
      </c>
      <c r="J36" s="304">
        <v>0</v>
      </c>
      <c r="K36" s="1350">
        <f t="shared" si="3"/>
        <v>0</v>
      </c>
    </row>
    <row r="37" spans="1:11" s="1353" customFormat="1" ht="25.5">
      <c r="A37" s="1919"/>
      <c r="B37" s="1917"/>
      <c r="C37" s="1918"/>
      <c r="D37" s="1248" t="s">
        <v>800</v>
      </c>
      <c r="E37" s="1244">
        <v>1</v>
      </c>
      <c r="F37" s="545">
        <v>10</v>
      </c>
      <c r="G37" s="545">
        <f t="shared" si="0"/>
        <v>10</v>
      </c>
      <c r="H37" s="545">
        <f t="shared" si="1"/>
        <v>10</v>
      </c>
      <c r="I37" s="545">
        <f t="shared" si="2"/>
        <v>10</v>
      </c>
      <c r="J37" s="304">
        <v>1000</v>
      </c>
      <c r="K37" s="1350">
        <f t="shared" si="3"/>
        <v>10000</v>
      </c>
    </row>
    <row r="38" spans="1:11" s="1353" customFormat="1" ht="42.75" customHeight="1">
      <c r="A38" s="1919">
        <v>7</v>
      </c>
      <c r="B38" s="1917" t="s">
        <v>801</v>
      </c>
      <c r="C38" s="1918" t="s">
        <v>802</v>
      </c>
      <c r="D38" s="1248" t="s">
        <v>43</v>
      </c>
      <c r="E38" s="1244">
        <v>1</v>
      </c>
      <c r="F38" s="545">
        <v>2</v>
      </c>
      <c r="G38" s="545">
        <f t="shared" si="0"/>
        <v>2</v>
      </c>
      <c r="H38" s="545">
        <f t="shared" si="1"/>
        <v>2</v>
      </c>
      <c r="I38" s="545">
        <f t="shared" si="2"/>
        <v>2</v>
      </c>
      <c r="J38" s="304">
        <v>1000</v>
      </c>
      <c r="K38" s="1350">
        <f t="shared" si="3"/>
        <v>2000</v>
      </c>
    </row>
    <row r="39" spans="1:11" s="1353" customFormat="1" ht="63.75">
      <c r="A39" s="1919"/>
      <c r="B39" s="1917"/>
      <c r="C39" s="1918"/>
      <c r="D39" s="1248" t="s">
        <v>803</v>
      </c>
      <c r="E39" s="1244">
        <v>6</v>
      </c>
      <c r="F39" s="545">
        <v>2</v>
      </c>
      <c r="G39" s="545">
        <f t="shared" si="0"/>
        <v>12</v>
      </c>
      <c r="H39" s="545">
        <f t="shared" si="1"/>
        <v>12</v>
      </c>
      <c r="I39" s="545">
        <f t="shared" si="2"/>
        <v>12</v>
      </c>
      <c r="J39" s="304">
        <v>369</v>
      </c>
      <c r="K39" s="1350">
        <f t="shared" si="3"/>
        <v>4428</v>
      </c>
    </row>
    <row r="40" spans="1:11" s="1353" customFormat="1" ht="25.5">
      <c r="A40" s="1919"/>
      <c r="B40" s="1917"/>
      <c r="C40" s="1918"/>
      <c r="D40" s="1248" t="s">
        <v>804</v>
      </c>
      <c r="E40" s="1244">
        <v>1</v>
      </c>
      <c r="F40" s="545">
        <v>2</v>
      </c>
      <c r="G40" s="545">
        <f t="shared" si="0"/>
        <v>2</v>
      </c>
      <c r="H40" s="545">
        <v>0</v>
      </c>
      <c r="I40" s="545">
        <f t="shared" si="2"/>
        <v>0</v>
      </c>
      <c r="J40" s="304">
        <v>0</v>
      </c>
      <c r="K40" s="1350">
        <f t="shared" si="3"/>
        <v>0</v>
      </c>
    </row>
    <row r="41" spans="1:11" s="1353" customFormat="1" ht="25.5">
      <c r="A41" s="1919">
        <v>8</v>
      </c>
      <c r="B41" s="1917" t="s">
        <v>805</v>
      </c>
      <c r="C41" s="1918" t="s">
        <v>1651</v>
      </c>
      <c r="D41" s="1248" t="s">
        <v>44</v>
      </c>
      <c r="E41" s="1244">
        <v>1</v>
      </c>
      <c r="F41" s="545">
        <v>1</v>
      </c>
      <c r="G41" s="545">
        <f t="shared" si="0"/>
        <v>1</v>
      </c>
      <c r="H41" s="545">
        <f t="shared" si="1"/>
        <v>1</v>
      </c>
      <c r="I41" s="545">
        <f t="shared" si="2"/>
        <v>1</v>
      </c>
      <c r="J41" s="304">
        <v>1500</v>
      </c>
      <c r="K41" s="1350">
        <f t="shared" si="3"/>
        <v>1500</v>
      </c>
    </row>
    <row r="42" spans="1:11" s="1353" customFormat="1" ht="25.5">
      <c r="A42" s="1919"/>
      <c r="B42" s="1917"/>
      <c r="C42" s="1918"/>
      <c r="D42" s="1248" t="s">
        <v>800</v>
      </c>
      <c r="E42" s="1244">
        <v>1</v>
      </c>
      <c r="F42" s="545">
        <v>1</v>
      </c>
      <c r="G42" s="545">
        <f t="shared" si="0"/>
        <v>1</v>
      </c>
      <c r="H42" s="545">
        <f t="shared" si="1"/>
        <v>1</v>
      </c>
      <c r="I42" s="545">
        <f t="shared" si="2"/>
        <v>1</v>
      </c>
      <c r="J42" s="304">
        <v>1000</v>
      </c>
      <c r="K42" s="1350">
        <f t="shared" si="3"/>
        <v>1000</v>
      </c>
    </row>
    <row r="43" spans="1:11" s="1353" customFormat="1" ht="25.5">
      <c r="A43" s="1919"/>
      <c r="B43" s="1917"/>
      <c r="C43" s="1918"/>
      <c r="D43" s="1248" t="s">
        <v>806</v>
      </c>
      <c r="E43" s="1244">
        <v>1</v>
      </c>
      <c r="F43" s="545">
        <v>1</v>
      </c>
      <c r="G43" s="545">
        <f t="shared" si="0"/>
        <v>1</v>
      </c>
      <c r="H43" s="545">
        <f t="shared" si="1"/>
        <v>1</v>
      </c>
      <c r="I43" s="545">
        <f t="shared" si="2"/>
        <v>1</v>
      </c>
      <c r="J43" s="304">
        <v>1000</v>
      </c>
      <c r="K43" s="1350">
        <f t="shared" si="3"/>
        <v>1000</v>
      </c>
    </row>
    <row r="44" spans="1:11" s="1353" customFormat="1" ht="25.5">
      <c r="A44" s="1919"/>
      <c r="B44" s="1917"/>
      <c r="C44" s="1918"/>
      <c r="D44" s="1248" t="s">
        <v>51</v>
      </c>
      <c r="E44" s="1244">
        <v>4</v>
      </c>
      <c r="F44" s="545">
        <v>1</v>
      </c>
      <c r="G44" s="545">
        <f t="shared" si="0"/>
        <v>4</v>
      </c>
      <c r="H44" s="545">
        <f t="shared" si="1"/>
        <v>4</v>
      </c>
      <c r="I44" s="545">
        <f t="shared" si="2"/>
        <v>4</v>
      </c>
      <c r="J44" s="304">
        <v>36</v>
      </c>
      <c r="K44" s="1350">
        <f t="shared" si="3"/>
        <v>144</v>
      </c>
    </row>
    <row r="45" spans="1:11" s="1353" customFormat="1" ht="25.5">
      <c r="A45" s="1919">
        <v>9</v>
      </c>
      <c r="B45" s="1917" t="s">
        <v>807</v>
      </c>
      <c r="C45" s="1918" t="s">
        <v>1652</v>
      </c>
      <c r="D45" s="1248" t="s">
        <v>808</v>
      </c>
      <c r="E45" s="1244">
        <v>1</v>
      </c>
      <c r="F45" s="545">
        <v>1</v>
      </c>
      <c r="G45" s="545">
        <f t="shared" si="0"/>
        <v>1</v>
      </c>
      <c r="H45" s="545">
        <f t="shared" si="1"/>
        <v>1</v>
      </c>
      <c r="I45" s="545">
        <f t="shared" si="2"/>
        <v>1</v>
      </c>
      <c r="J45" s="304">
        <v>1000</v>
      </c>
      <c r="K45" s="1350">
        <f t="shared" si="3"/>
        <v>1000</v>
      </c>
    </row>
    <row r="46" spans="1:11" s="1353" customFormat="1" ht="25.5">
      <c r="A46" s="1919"/>
      <c r="B46" s="1917"/>
      <c r="C46" s="1918"/>
      <c r="D46" s="1248" t="s">
        <v>809</v>
      </c>
      <c r="E46" s="1244">
        <v>1</v>
      </c>
      <c r="F46" s="545">
        <v>1</v>
      </c>
      <c r="G46" s="545">
        <f t="shared" si="0"/>
        <v>1</v>
      </c>
      <c r="H46" s="545">
        <f t="shared" si="1"/>
        <v>1</v>
      </c>
      <c r="I46" s="545">
        <f t="shared" si="2"/>
        <v>1</v>
      </c>
      <c r="J46" s="304">
        <v>57.75</v>
      </c>
      <c r="K46" s="1350">
        <f t="shared" si="3"/>
        <v>57.75</v>
      </c>
    </row>
    <row r="47" spans="1:11" s="1353" customFormat="1" ht="25.5">
      <c r="A47" s="1919">
        <v>10</v>
      </c>
      <c r="B47" s="1917" t="s">
        <v>810</v>
      </c>
      <c r="C47" s="1918" t="s">
        <v>1650</v>
      </c>
      <c r="D47" s="1248" t="s">
        <v>811</v>
      </c>
      <c r="E47" s="1244">
        <v>3</v>
      </c>
      <c r="F47" s="545">
        <v>1</v>
      </c>
      <c r="G47" s="545">
        <f t="shared" si="0"/>
        <v>3</v>
      </c>
      <c r="H47" s="545">
        <f t="shared" si="1"/>
        <v>3</v>
      </c>
      <c r="I47" s="545">
        <f t="shared" si="2"/>
        <v>3</v>
      </c>
      <c r="J47" s="304">
        <v>900</v>
      </c>
      <c r="K47" s="1350">
        <f t="shared" si="3"/>
        <v>2700</v>
      </c>
    </row>
    <row r="48" spans="1:11" s="1353" customFormat="1" ht="38.25">
      <c r="A48" s="1919"/>
      <c r="B48" s="1917"/>
      <c r="C48" s="1918"/>
      <c r="D48" s="1248" t="s">
        <v>812</v>
      </c>
      <c r="E48" s="1244">
        <v>2</v>
      </c>
      <c r="F48" s="545">
        <v>1</v>
      </c>
      <c r="G48" s="545">
        <f t="shared" si="0"/>
        <v>2</v>
      </c>
      <c r="H48" s="545">
        <v>0</v>
      </c>
      <c r="I48" s="545">
        <f t="shared" si="2"/>
        <v>0</v>
      </c>
      <c r="J48" s="304">
        <v>0</v>
      </c>
      <c r="K48" s="1350">
        <f t="shared" si="3"/>
        <v>0</v>
      </c>
    </row>
    <row r="49" spans="1:11" s="1353" customFormat="1" ht="25.5">
      <c r="A49" s="1919">
        <v>11</v>
      </c>
      <c r="B49" s="1917" t="s">
        <v>813</v>
      </c>
      <c r="C49" s="1918" t="s">
        <v>1649</v>
      </c>
      <c r="D49" s="1248" t="s">
        <v>811</v>
      </c>
      <c r="E49" s="1244">
        <v>3</v>
      </c>
      <c r="F49" s="545">
        <v>1</v>
      </c>
      <c r="G49" s="545">
        <f t="shared" si="0"/>
        <v>3</v>
      </c>
      <c r="H49" s="545">
        <f t="shared" si="1"/>
        <v>3</v>
      </c>
      <c r="I49" s="545">
        <f t="shared" si="2"/>
        <v>3</v>
      </c>
      <c r="J49" s="304">
        <v>900</v>
      </c>
      <c r="K49" s="1350">
        <f t="shared" si="3"/>
        <v>2700</v>
      </c>
    </row>
    <row r="50" spans="1:11" s="1353" customFormat="1" ht="51">
      <c r="A50" s="1919"/>
      <c r="B50" s="1917"/>
      <c r="C50" s="1918"/>
      <c r="D50" s="1248" t="s">
        <v>814</v>
      </c>
      <c r="E50" s="1244">
        <v>2</v>
      </c>
      <c r="F50" s="545">
        <v>1</v>
      </c>
      <c r="G50" s="545">
        <f t="shared" si="0"/>
        <v>2</v>
      </c>
      <c r="H50" s="545">
        <v>0</v>
      </c>
      <c r="I50" s="545">
        <f t="shared" si="2"/>
        <v>0</v>
      </c>
      <c r="J50" s="304">
        <v>0</v>
      </c>
      <c r="K50" s="1350">
        <f t="shared" si="3"/>
        <v>0</v>
      </c>
    </row>
    <row r="51" spans="1:11" s="1353" customFormat="1" ht="38.25">
      <c r="A51" s="1919"/>
      <c r="B51" s="1917"/>
      <c r="C51" s="1918"/>
      <c r="D51" s="1248" t="s">
        <v>812</v>
      </c>
      <c r="E51" s="1244">
        <v>2</v>
      </c>
      <c r="F51" s="545">
        <v>1</v>
      </c>
      <c r="G51" s="545">
        <f t="shared" si="0"/>
        <v>2</v>
      </c>
      <c r="H51" s="545">
        <v>0</v>
      </c>
      <c r="I51" s="545">
        <f t="shared" si="2"/>
        <v>0</v>
      </c>
      <c r="J51" s="304">
        <v>0</v>
      </c>
      <c r="K51" s="1350">
        <f t="shared" si="3"/>
        <v>0</v>
      </c>
    </row>
    <row r="52" spans="1:11" s="1353" customFormat="1" ht="25.5">
      <c r="A52" s="1919">
        <v>12</v>
      </c>
      <c r="B52" s="1917" t="s">
        <v>807</v>
      </c>
      <c r="C52" s="1918" t="s">
        <v>815</v>
      </c>
      <c r="D52" s="1248" t="s">
        <v>806</v>
      </c>
      <c r="E52" s="1244">
        <v>2</v>
      </c>
      <c r="F52" s="545">
        <v>2</v>
      </c>
      <c r="G52" s="545">
        <f t="shared" si="0"/>
        <v>4</v>
      </c>
      <c r="H52" s="545">
        <v>2</v>
      </c>
      <c r="I52" s="545">
        <f t="shared" si="2"/>
        <v>2</v>
      </c>
      <c r="J52" s="304">
        <v>1000</v>
      </c>
      <c r="K52" s="1350">
        <f t="shared" si="3"/>
        <v>2000</v>
      </c>
    </row>
    <row r="53" spans="1:11" s="1353" customFormat="1" ht="25.5">
      <c r="A53" s="1919"/>
      <c r="B53" s="1917"/>
      <c r="C53" s="1918"/>
      <c r="D53" s="1248" t="s">
        <v>809</v>
      </c>
      <c r="E53" s="1244">
        <v>2</v>
      </c>
      <c r="F53" s="545">
        <v>2</v>
      </c>
      <c r="G53" s="545">
        <f t="shared" si="0"/>
        <v>4</v>
      </c>
      <c r="H53" s="545">
        <v>0</v>
      </c>
      <c r="I53" s="545">
        <f t="shared" si="2"/>
        <v>0</v>
      </c>
      <c r="J53" s="304">
        <v>0</v>
      </c>
      <c r="K53" s="1350">
        <f t="shared" si="3"/>
        <v>0</v>
      </c>
    </row>
    <row r="54" spans="1:11" s="1253" customFormat="1" ht="15.75">
      <c r="A54" s="1810" t="s">
        <v>1516</v>
      </c>
      <c r="B54" s="1810"/>
      <c r="C54" s="1810"/>
      <c r="D54" s="1810"/>
      <c r="E54" s="1810"/>
      <c r="F54" s="1810"/>
      <c r="G54" s="1810"/>
      <c r="H54" s="1810"/>
      <c r="I54" s="1810"/>
      <c r="J54" s="1810"/>
      <c r="K54" s="1354">
        <f>SUM(K8:K53)</f>
        <v>115743.5</v>
      </c>
    </row>
    <row r="57" spans="1:11" s="207" customFormat="1" ht="15.75">
      <c r="B57" s="234" t="s">
        <v>1077</v>
      </c>
      <c r="C57" s="311"/>
      <c r="D57" s="507"/>
      <c r="E57" s="311"/>
      <c r="F57" s="311"/>
      <c r="G57" s="511"/>
      <c r="H57" s="311"/>
      <c r="I57" s="507" t="s">
        <v>816</v>
      </c>
      <c r="K57" s="311"/>
    </row>
    <row r="58" spans="1:11" s="207" customFormat="1" ht="31.5" customHeight="1">
      <c r="B58" s="221"/>
      <c r="C58" s="217"/>
      <c r="D58" s="523" t="s">
        <v>1078</v>
      </c>
      <c r="E58" s="523"/>
      <c r="F58" s="524"/>
      <c r="G58" s="533"/>
      <c r="H58" s="533"/>
      <c r="I58" s="524" t="s">
        <v>1079</v>
      </c>
      <c r="K58" s="509"/>
    </row>
    <row r="59" spans="1:11" s="207" customFormat="1" ht="15.75">
      <c r="B59" s="505" t="s">
        <v>1076</v>
      </c>
      <c r="C59" s="311"/>
      <c r="D59" s="529"/>
      <c r="E59" s="528"/>
      <c r="F59" s="528"/>
      <c r="G59" s="524"/>
      <c r="H59" s="528"/>
      <c r="I59" s="529" t="s">
        <v>817</v>
      </c>
      <c r="K59" s="311"/>
    </row>
    <row r="60" spans="1:11" s="207" customFormat="1" ht="31.5" customHeight="1">
      <c r="B60" s="221"/>
      <c r="C60" s="217"/>
      <c r="D60" s="523" t="s">
        <v>1078</v>
      </c>
      <c r="E60" s="523"/>
      <c r="F60" s="524"/>
      <c r="G60" s="533"/>
      <c r="H60" s="533"/>
      <c r="I60" s="524" t="s">
        <v>1079</v>
      </c>
      <c r="K60" s="509"/>
    </row>
  </sheetData>
  <mergeCells count="49">
    <mergeCell ref="A3:K3"/>
    <mergeCell ref="A4:K4"/>
    <mergeCell ref="A5:A6"/>
    <mergeCell ref="B5:B6"/>
    <mergeCell ref="C5:C6"/>
    <mergeCell ref="D5:D6"/>
    <mergeCell ref="E5:E6"/>
    <mergeCell ref="F5:F6"/>
    <mergeCell ref="G5:H5"/>
    <mergeCell ref="I5:I6"/>
    <mergeCell ref="A19:A22"/>
    <mergeCell ref="J5:J6"/>
    <mergeCell ref="K5:K6"/>
    <mergeCell ref="B19:B22"/>
    <mergeCell ref="C19:C22"/>
    <mergeCell ref="B8:B11"/>
    <mergeCell ref="C8:C11"/>
    <mergeCell ref="A8:A11"/>
    <mergeCell ref="A27:A31"/>
    <mergeCell ref="B27:B31"/>
    <mergeCell ref="C27:C31"/>
    <mergeCell ref="A23:A26"/>
    <mergeCell ref="B23:B26"/>
    <mergeCell ref="C23:C26"/>
    <mergeCell ref="A12:A18"/>
    <mergeCell ref="B12:B18"/>
    <mergeCell ref="C12:C18"/>
    <mergeCell ref="A32:A37"/>
    <mergeCell ref="B32:B37"/>
    <mergeCell ref="C32:C37"/>
    <mergeCell ref="A38:A40"/>
    <mergeCell ref="B38:B40"/>
    <mergeCell ref="C38:C40"/>
    <mergeCell ref="A41:A44"/>
    <mergeCell ref="B41:B44"/>
    <mergeCell ref="C41:C44"/>
    <mergeCell ref="A45:A46"/>
    <mergeCell ref="B45:B46"/>
    <mergeCell ref="C45:C46"/>
    <mergeCell ref="A47:A48"/>
    <mergeCell ref="B47:B48"/>
    <mergeCell ref="C47:C48"/>
    <mergeCell ref="A54:J54"/>
    <mergeCell ref="A49:A51"/>
    <mergeCell ref="B49:B51"/>
    <mergeCell ref="C49:C51"/>
    <mergeCell ref="A52:A53"/>
    <mergeCell ref="B52:B53"/>
    <mergeCell ref="C52:C53"/>
  </mergeCells>
  <phoneticPr fontId="116" type="noConversion"/>
  <pageMargins left="0.70866141732283472" right="0.70866141732283472" top="0.74803149606299213" bottom="0.74803149606299213" header="0.31496062992125984" footer="0.31496062992125984"/>
  <pageSetup paperSize="9" scale="79" orientation="landscape" r:id="rId1"/>
</worksheet>
</file>

<file path=xl/worksheets/sheet47.xml><?xml version="1.0" encoding="utf-8"?>
<worksheet xmlns="http://schemas.openxmlformats.org/spreadsheetml/2006/main" xmlns:r="http://schemas.openxmlformats.org/officeDocument/2006/relationships">
  <sheetPr>
    <tabColor rgb="FFAB19A1"/>
  </sheetPr>
  <dimension ref="A1:Q47"/>
  <sheetViews>
    <sheetView view="pageBreakPreview" topLeftCell="E42" zoomScaleNormal="100" zoomScaleSheetLayoutView="100" workbookViewId="0">
      <selection activeCell="L5" sqref="L5"/>
    </sheetView>
  </sheetViews>
  <sheetFormatPr defaultRowHeight="15.75"/>
  <cols>
    <col min="1" max="1" width="5.5703125" style="1143" customWidth="1"/>
    <col min="2" max="2" width="22.140625" style="1146" customWidth="1"/>
    <col min="3" max="3" width="5.140625" style="1146" bestFit="1" customWidth="1"/>
    <col min="4" max="4" width="9.85546875" style="1146" customWidth="1"/>
    <col min="5" max="5" width="10.42578125" style="1146" customWidth="1"/>
    <col min="6" max="6" width="10.5703125" style="1146" customWidth="1"/>
    <col min="7" max="7" width="9.5703125" style="1146" customWidth="1"/>
    <col min="8" max="8" width="12" style="1144" customWidth="1"/>
    <col min="9" max="9" width="13.140625" style="1144" customWidth="1"/>
    <col min="10" max="12" width="14" style="1146" customWidth="1"/>
    <col min="13" max="13" width="12.42578125" style="1145" customWidth="1"/>
    <col min="14" max="14" width="12.28515625" style="1145" customWidth="1"/>
    <col min="15" max="15" width="13.140625" style="1145" customWidth="1"/>
    <col min="16" max="16" width="12.85546875" style="1145" customWidth="1"/>
    <col min="17" max="16384" width="9.140625" style="1146"/>
  </cols>
  <sheetData>
    <row r="1" spans="1:16" ht="18.75" hidden="1">
      <c r="B1" s="1943" t="s">
        <v>487</v>
      </c>
      <c r="C1" s="1943"/>
      <c r="D1" s="1943"/>
      <c r="E1" s="1943"/>
      <c r="F1" s="1943"/>
      <c r="G1" s="1943"/>
      <c r="H1" s="1943"/>
      <c r="I1" s="1943"/>
      <c r="J1" s="1943"/>
      <c r="K1" s="1144"/>
      <c r="L1" s="1144"/>
    </row>
    <row r="2" spans="1:16" hidden="1">
      <c r="B2" s="1943"/>
      <c r="C2" s="1943"/>
      <c r="D2" s="1943"/>
      <c r="E2" s="1943"/>
      <c r="F2" s="1943"/>
      <c r="G2" s="1943"/>
      <c r="H2" s="1943"/>
      <c r="I2" s="1943"/>
      <c r="J2" s="1943"/>
      <c r="K2" s="1144"/>
      <c r="L2" s="1144"/>
    </row>
    <row r="3" spans="1:16" ht="81.75" customHeight="1">
      <c r="A3" s="1944" t="s">
        <v>488</v>
      </c>
      <c r="B3" s="1944"/>
      <c r="C3" s="1944"/>
      <c r="D3" s="1944"/>
      <c r="E3" s="1944"/>
      <c r="F3" s="1944"/>
      <c r="G3" s="1944"/>
      <c r="H3" s="1944"/>
      <c r="I3" s="1944"/>
      <c r="J3" s="1944"/>
      <c r="K3" s="1944"/>
      <c r="L3" s="1944"/>
    </row>
    <row r="4" spans="1:16">
      <c r="M4" s="1945" t="s">
        <v>489</v>
      </c>
      <c r="N4" s="1945"/>
      <c r="O4" s="1945"/>
      <c r="P4" s="1945"/>
    </row>
    <row r="5" spans="1:16" s="1150" customFormat="1" ht="147" customHeight="1">
      <c r="A5" s="1147" t="s">
        <v>1267</v>
      </c>
      <c r="B5" s="1148" t="s">
        <v>218</v>
      </c>
      <c r="C5" s="1148" t="s">
        <v>1305</v>
      </c>
      <c r="D5" s="1148" t="s">
        <v>490</v>
      </c>
      <c r="E5" s="1148" t="s">
        <v>491</v>
      </c>
      <c r="F5" s="1148" t="s">
        <v>492</v>
      </c>
      <c r="G5" s="1148" t="s">
        <v>493</v>
      </c>
      <c r="H5" s="1148" t="s">
        <v>494</v>
      </c>
      <c r="I5" s="1148" t="s">
        <v>495</v>
      </c>
      <c r="J5" s="1148" t="s">
        <v>496</v>
      </c>
      <c r="K5" s="1148" t="s">
        <v>497</v>
      </c>
      <c r="L5" s="1148" t="s">
        <v>498</v>
      </c>
      <c r="M5" s="1149" t="s">
        <v>495</v>
      </c>
      <c r="N5" s="1149" t="s">
        <v>496</v>
      </c>
      <c r="O5" s="1149" t="s">
        <v>499</v>
      </c>
      <c r="P5" s="1149" t="s">
        <v>498</v>
      </c>
    </row>
    <row r="6" spans="1:16">
      <c r="A6" s="1151">
        <v>1</v>
      </c>
      <c r="B6" s="1152" t="s">
        <v>500</v>
      </c>
      <c r="C6" s="1153" t="s">
        <v>501</v>
      </c>
      <c r="D6" s="1153">
        <v>40</v>
      </c>
      <c r="E6" s="1153">
        <v>50</v>
      </c>
      <c r="F6" s="1153">
        <v>80</v>
      </c>
      <c r="G6" s="1153">
        <v>120</v>
      </c>
      <c r="H6" s="1154">
        <v>51.83</v>
      </c>
      <c r="I6" s="1155">
        <f t="shared" ref="I6:I34" si="0">ROUND(D6*H6/1000,2)</f>
        <v>2.0699999999999998</v>
      </c>
      <c r="J6" s="1155">
        <f t="shared" ref="J6:J34" si="1">ROUND(E6*H6/1000,2)</f>
        <v>2.59</v>
      </c>
      <c r="K6" s="1155">
        <f t="shared" ref="K6:K34" si="2">ROUND(F6*H6/1000,2)</f>
        <v>4.1500000000000004</v>
      </c>
      <c r="L6" s="1155">
        <f t="shared" ref="L6:L34" si="3">ROUND(G6*H6/1000,2)</f>
        <v>6.22</v>
      </c>
      <c r="M6" s="1156">
        <f t="shared" ref="M6:P7" si="4">I6*1.2</f>
        <v>2.4839999999999995</v>
      </c>
      <c r="N6" s="1156">
        <f t="shared" si="4"/>
        <v>3.1079999999999997</v>
      </c>
      <c r="O6" s="1156">
        <f t="shared" si="4"/>
        <v>4.9800000000000004</v>
      </c>
      <c r="P6" s="1156">
        <f t="shared" si="4"/>
        <v>7.4639999999999995</v>
      </c>
    </row>
    <row r="7" spans="1:16">
      <c r="A7" s="1151">
        <f>A6+1</f>
        <v>2</v>
      </c>
      <c r="B7" s="1152" t="s">
        <v>502</v>
      </c>
      <c r="C7" s="1153" t="s">
        <v>501</v>
      </c>
      <c r="D7" s="1153">
        <v>60</v>
      </c>
      <c r="E7" s="1153">
        <v>80</v>
      </c>
      <c r="F7" s="1153">
        <v>150</v>
      </c>
      <c r="G7" s="1153">
        <v>200</v>
      </c>
      <c r="H7" s="1154">
        <v>72.3</v>
      </c>
      <c r="I7" s="1155">
        <f t="shared" si="0"/>
        <v>4.34</v>
      </c>
      <c r="J7" s="1155">
        <f t="shared" si="1"/>
        <v>5.78</v>
      </c>
      <c r="K7" s="1155">
        <f t="shared" si="2"/>
        <v>10.85</v>
      </c>
      <c r="L7" s="1155">
        <f t="shared" si="3"/>
        <v>14.46</v>
      </c>
      <c r="M7" s="1156">
        <f t="shared" si="4"/>
        <v>5.2079999999999993</v>
      </c>
      <c r="N7" s="1156">
        <f t="shared" si="4"/>
        <v>6.9359999999999999</v>
      </c>
      <c r="O7" s="1156">
        <f t="shared" si="4"/>
        <v>13.02</v>
      </c>
      <c r="P7" s="1156">
        <f t="shared" si="4"/>
        <v>17.352</v>
      </c>
    </row>
    <row r="8" spans="1:16">
      <c r="A8" s="1151">
        <f t="shared" ref="A8:A39" si="5">A7+1</f>
        <v>3</v>
      </c>
      <c r="B8" s="1152" t="s">
        <v>503</v>
      </c>
      <c r="C8" s="1153" t="s">
        <v>501</v>
      </c>
      <c r="D8" s="1153">
        <v>25</v>
      </c>
      <c r="E8" s="1153">
        <v>29</v>
      </c>
      <c r="F8" s="1153">
        <v>15</v>
      </c>
      <c r="G8" s="1153">
        <v>20</v>
      </c>
      <c r="H8" s="1154">
        <v>34.93</v>
      </c>
      <c r="I8" s="1155">
        <f t="shared" si="0"/>
        <v>0.87</v>
      </c>
      <c r="J8" s="1155">
        <f t="shared" si="1"/>
        <v>1.01</v>
      </c>
      <c r="K8" s="1155">
        <f t="shared" si="2"/>
        <v>0.52</v>
      </c>
      <c r="L8" s="1155">
        <f t="shared" si="3"/>
        <v>0.7</v>
      </c>
      <c r="M8" s="1156">
        <f t="shared" ref="M8:P23" si="6">I8*1.45</f>
        <v>1.2615000000000001</v>
      </c>
      <c r="N8" s="1156">
        <f t="shared" si="6"/>
        <v>1.4644999999999999</v>
      </c>
      <c r="O8" s="1156">
        <f t="shared" si="6"/>
        <v>0.754</v>
      </c>
      <c r="P8" s="1156">
        <f t="shared" si="6"/>
        <v>1.0149999999999999</v>
      </c>
    </row>
    <row r="9" spans="1:16">
      <c r="A9" s="1151">
        <f t="shared" si="5"/>
        <v>4</v>
      </c>
      <c r="B9" s="1152" t="s">
        <v>504</v>
      </c>
      <c r="C9" s="1153" t="s">
        <v>501</v>
      </c>
      <c r="D9" s="1153">
        <v>2</v>
      </c>
      <c r="E9" s="1153">
        <v>3</v>
      </c>
      <c r="F9" s="1153"/>
      <c r="G9" s="1153"/>
      <c r="H9" s="1154">
        <v>37.020000000000003</v>
      </c>
      <c r="I9" s="1155">
        <f t="shared" si="0"/>
        <v>7.0000000000000007E-2</v>
      </c>
      <c r="J9" s="1155">
        <f t="shared" si="1"/>
        <v>0.11</v>
      </c>
      <c r="K9" s="1155">
        <f t="shared" si="2"/>
        <v>0</v>
      </c>
      <c r="L9" s="1155">
        <f t="shared" si="3"/>
        <v>0</v>
      </c>
      <c r="M9" s="1156">
        <f t="shared" si="6"/>
        <v>0.10150000000000001</v>
      </c>
      <c r="N9" s="1156">
        <f t="shared" si="6"/>
        <v>0.1595</v>
      </c>
      <c r="O9" s="1156">
        <f t="shared" si="6"/>
        <v>0</v>
      </c>
      <c r="P9" s="1156">
        <f t="shared" si="6"/>
        <v>0</v>
      </c>
    </row>
    <row r="10" spans="1:16" ht="31.5">
      <c r="A10" s="1151">
        <f t="shared" si="5"/>
        <v>5</v>
      </c>
      <c r="B10" s="1152" t="s">
        <v>505</v>
      </c>
      <c r="C10" s="1153" t="s">
        <v>501</v>
      </c>
      <c r="D10" s="1153">
        <v>30</v>
      </c>
      <c r="E10" s="1153">
        <v>43</v>
      </c>
      <c r="F10" s="1153">
        <v>45</v>
      </c>
      <c r="G10" s="1153">
        <v>50</v>
      </c>
      <c r="H10" s="1154">
        <v>44.34</v>
      </c>
      <c r="I10" s="1155">
        <f t="shared" si="0"/>
        <v>1.33</v>
      </c>
      <c r="J10" s="1155">
        <f t="shared" si="1"/>
        <v>1.91</v>
      </c>
      <c r="K10" s="1155">
        <f t="shared" si="2"/>
        <v>2</v>
      </c>
      <c r="L10" s="1155">
        <f t="shared" si="3"/>
        <v>2.2200000000000002</v>
      </c>
      <c r="M10" s="1156">
        <f t="shared" si="6"/>
        <v>1.9285000000000001</v>
      </c>
      <c r="N10" s="1156">
        <f t="shared" si="6"/>
        <v>2.7694999999999999</v>
      </c>
      <c r="O10" s="1156">
        <f t="shared" si="6"/>
        <v>2.9</v>
      </c>
      <c r="P10" s="1156">
        <f t="shared" si="6"/>
        <v>3.2190000000000003</v>
      </c>
    </row>
    <row r="11" spans="1:16">
      <c r="A11" s="1151">
        <f t="shared" si="5"/>
        <v>6</v>
      </c>
      <c r="B11" s="1152" t="s">
        <v>506</v>
      </c>
      <c r="C11" s="1153" t="s">
        <v>501</v>
      </c>
      <c r="D11" s="1153">
        <v>8</v>
      </c>
      <c r="E11" s="1153">
        <v>12</v>
      </c>
      <c r="F11" s="1153">
        <v>15</v>
      </c>
      <c r="G11" s="1153">
        <v>20</v>
      </c>
      <c r="H11" s="1154">
        <v>57.23</v>
      </c>
      <c r="I11" s="1155">
        <f t="shared" si="0"/>
        <v>0.46</v>
      </c>
      <c r="J11" s="1155">
        <f t="shared" si="1"/>
        <v>0.69</v>
      </c>
      <c r="K11" s="1155">
        <f t="shared" si="2"/>
        <v>0.86</v>
      </c>
      <c r="L11" s="1155">
        <f t="shared" si="3"/>
        <v>1.1399999999999999</v>
      </c>
      <c r="M11" s="1156">
        <f t="shared" si="6"/>
        <v>0.66700000000000004</v>
      </c>
      <c r="N11" s="1156">
        <f t="shared" si="6"/>
        <v>1.0004999999999999</v>
      </c>
      <c r="O11" s="1156">
        <f t="shared" si="6"/>
        <v>1.2469999999999999</v>
      </c>
      <c r="P11" s="1156">
        <f t="shared" si="6"/>
        <v>1.6529999999999998</v>
      </c>
    </row>
    <row r="12" spans="1:16">
      <c r="A12" s="1151">
        <f t="shared" si="5"/>
        <v>7</v>
      </c>
      <c r="B12" s="1152" t="s">
        <v>507</v>
      </c>
      <c r="C12" s="1153" t="s">
        <v>501</v>
      </c>
      <c r="D12" s="1153">
        <v>186</v>
      </c>
      <c r="E12" s="1153">
        <v>217</v>
      </c>
      <c r="F12" s="1153">
        <v>250</v>
      </c>
      <c r="G12" s="1153">
        <v>250</v>
      </c>
      <c r="H12" s="1154">
        <v>29.38</v>
      </c>
      <c r="I12" s="1155">
        <f t="shared" si="0"/>
        <v>5.46</v>
      </c>
      <c r="J12" s="1155">
        <f t="shared" si="1"/>
        <v>6.38</v>
      </c>
      <c r="K12" s="1155">
        <f t="shared" si="2"/>
        <v>7.35</v>
      </c>
      <c r="L12" s="1155">
        <f t="shared" si="3"/>
        <v>7.35</v>
      </c>
      <c r="M12" s="1156">
        <f t="shared" si="6"/>
        <v>7.9169999999999998</v>
      </c>
      <c r="N12" s="1156">
        <f t="shared" si="6"/>
        <v>9.2509999999999994</v>
      </c>
      <c r="O12" s="1156">
        <f t="shared" si="6"/>
        <v>10.657499999999999</v>
      </c>
      <c r="P12" s="1156">
        <f t="shared" si="6"/>
        <v>10.657499999999999</v>
      </c>
    </row>
    <row r="13" spans="1:16" ht="31.5">
      <c r="A13" s="1151">
        <f t="shared" si="5"/>
        <v>8</v>
      </c>
      <c r="B13" s="1152" t="s">
        <v>508</v>
      </c>
      <c r="C13" s="1153" t="s">
        <v>501</v>
      </c>
      <c r="D13" s="1153">
        <v>256</v>
      </c>
      <c r="E13" s="1153">
        <v>325</v>
      </c>
      <c r="F13" s="1153">
        <v>350</v>
      </c>
      <c r="G13" s="1153">
        <v>400</v>
      </c>
      <c r="H13" s="1154">
        <v>72.55</v>
      </c>
      <c r="I13" s="1155">
        <f t="shared" si="0"/>
        <v>18.57</v>
      </c>
      <c r="J13" s="1155">
        <f t="shared" si="1"/>
        <v>23.58</v>
      </c>
      <c r="K13" s="1155">
        <f t="shared" si="2"/>
        <v>25.39</v>
      </c>
      <c r="L13" s="1155">
        <f t="shared" si="3"/>
        <v>29.02</v>
      </c>
      <c r="M13" s="1156">
        <f t="shared" si="6"/>
        <v>26.926500000000001</v>
      </c>
      <c r="N13" s="1156">
        <f t="shared" si="6"/>
        <v>34.190999999999995</v>
      </c>
      <c r="O13" s="1156">
        <f t="shared" si="6"/>
        <v>36.8155</v>
      </c>
      <c r="P13" s="1156">
        <f t="shared" si="6"/>
        <v>42.079000000000001</v>
      </c>
    </row>
    <row r="14" spans="1:16" ht="78.75">
      <c r="A14" s="1151">
        <f t="shared" si="5"/>
        <v>9</v>
      </c>
      <c r="B14" s="1157" t="s">
        <v>509</v>
      </c>
      <c r="C14" s="1153" t="s">
        <v>501</v>
      </c>
      <c r="D14" s="1153">
        <v>208</v>
      </c>
      <c r="E14" s="1153">
        <v>264</v>
      </c>
      <c r="F14" s="1153">
        <v>400</v>
      </c>
      <c r="G14" s="1153">
        <v>400</v>
      </c>
      <c r="H14" s="1154">
        <v>110.21</v>
      </c>
      <c r="I14" s="1155">
        <f t="shared" si="0"/>
        <v>22.92</v>
      </c>
      <c r="J14" s="1155">
        <f t="shared" si="1"/>
        <v>29.1</v>
      </c>
      <c r="K14" s="1155">
        <f t="shared" si="2"/>
        <v>44.08</v>
      </c>
      <c r="L14" s="1155">
        <f t="shared" si="3"/>
        <v>44.08</v>
      </c>
      <c r="M14" s="1156">
        <f t="shared" si="6"/>
        <v>33.234000000000002</v>
      </c>
      <c r="N14" s="1156">
        <f t="shared" si="6"/>
        <v>42.195</v>
      </c>
      <c r="O14" s="1156">
        <f t="shared" si="6"/>
        <v>63.915999999999997</v>
      </c>
      <c r="P14" s="1156">
        <f t="shared" si="6"/>
        <v>63.915999999999997</v>
      </c>
    </row>
    <row r="15" spans="1:16">
      <c r="A15" s="1151">
        <f t="shared" si="5"/>
        <v>10</v>
      </c>
      <c r="B15" s="1157" t="s">
        <v>510</v>
      </c>
      <c r="C15" s="1153" t="s">
        <v>501</v>
      </c>
      <c r="D15" s="1153"/>
      <c r="E15" s="1153"/>
      <c r="F15" s="1153"/>
      <c r="G15" s="1153"/>
      <c r="H15" s="1154"/>
      <c r="I15" s="1155">
        <f t="shared" si="0"/>
        <v>0</v>
      </c>
      <c r="J15" s="1155">
        <f t="shared" si="1"/>
        <v>0</v>
      </c>
      <c r="K15" s="1155">
        <f t="shared" si="2"/>
        <v>0</v>
      </c>
      <c r="L15" s="1155">
        <f t="shared" si="3"/>
        <v>0</v>
      </c>
      <c r="M15" s="1156">
        <f t="shared" si="6"/>
        <v>0</v>
      </c>
      <c r="N15" s="1156">
        <f t="shared" si="6"/>
        <v>0</v>
      </c>
      <c r="O15" s="1156">
        <f t="shared" si="6"/>
        <v>0</v>
      </c>
      <c r="P15" s="1156">
        <f t="shared" si="6"/>
        <v>0</v>
      </c>
    </row>
    <row r="16" spans="1:16">
      <c r="A16" s="1151">
        <f t="shared" si="5"/>
        <v>11</v>
      </c>
      <c r="B16" s="1152" t="s">
        <v>511</v>
      </c>
      <c r="C16" s="1153" t="s">
        <v>501</v>
      </c>
      <c r="D16" s="1153">
        <v>9</v>
      </c>
      <c r="E16" s="1153">
        <v>11</v>
      </c>
      <c r="F16" s="1153">
        <v>15</v>
      </c>
      <c r="G16" s="1153">
        <v>20</v>
      </c>
      <c r="H16" s="1154">
        <v>156.94999999999999</v>
      </c>
      <c r="I16" s="1155">
        <f t="shared" si="0"/>
        <v>1.41</v>
      </c>
      <c r="J16" s="1155">
        <f t="shared" si="1"/>
        <v>1.73</v>
      </c>
      <c r="K16" s="1155">
        <f t="shared" si="2"/>
        <v>2.35</v>
      </c>
      <c r="L16" s="1155">
        <f t="shared" si="3"/>
        <v>3.14</v>
      </c>
      <c r="M16" s="1156">
        <f t="shared" si="6"/>
        <v>2.0444999999999998</v>
      </c>
      <c r="N16" s="1156">
        <f t="shared" si="6"/>
        <v>2.5084999999999997</v>
      </c>
      <c r="O16" s="1156">
        <f t="shared" si="6"/>
        <v>3.4075000000000002</v>
      </c>
      <c r="P16" s="1156">
        <f t="shared" si="6"/>
        <v>4.5529999999999999</v>
      </c>
    </row>
    <row r="17" spans="1:16" ht="31.5">
      <c r="A17" s="1151">
        <f t="shared" si="5"/>
        <v>12</v>
      </c>
      <c r="B17" s="1152" t="s">
        <v>512</v>
      </c>
      <c r="C17" s="1153" t="s">
        <v>501</v>
      </c>
      <c r="D17" s="1153">
        <v>44</v>
      </c>
      <c r="E17" s="1153">
        <v>67</v>
      </c>
      <c r="F17" s="1153">
        <v>50</v>
      </c>
      <c r="G17" s="1153">
        <v>60</v>
      </c>
      <c r="H17" s="1154">
        <v>261.33</v>
      </c>
      <c r="I17" s="1155">
        <f t="shared" si="0"/>
        <v>11.5</v>
      </c>
      <c r="J17" s="1155">
        <f t="shared" si="1"/>
        <v>17.510000000000002</v>
      </c>
      <c r="K17" s="1155">
        <f t="shared" si="2"/>
        <v>13.07</v>
      </c>
      <c r="L17" s="1155">
        <f t="shared" si="3"/>
        <v>15.68</v>
      </c>
      <c r="M17" s="1156">
        <f t="shared" si="6"/>
        <v>16.675000000000001</v>
      </c>
      <c r="N17" s="1156">
        <f t="shared" si="6"/>
        <v>25.389500000000002</v>
      </c>
      <c r="O17" s="1156">
        <f t="shared" si="6"/>
        <v>18.951499999999999</v>
      </c>
      <c r="P17" s="1156">
        <f t="shared" si="6"/>
        <v>22.736000000000001</v>
      </c>
    </row>
    <row r="18" spans="1:16">
      <c r="A18" s="1151">
        <f t="shared" si="5"/>
        <v>13</v>
      </c>
      <c r="B18" s="1152" t="s">
        <v>513</v>
      </c>
      <c r="C18" s="1153" t="s">
        <v>501</v>
      </c>
      <c r="D18" s="1153"/>
      <c r="E18" s="1153"/>
      <c r="F18" s="1153"/>
      <c r="G18" s="1153"/>
      <c r="H18" s="1154"/>
      <c r="I18" s="1155">
        <f t="shared" si="0"/>
        <v>0</v>
      </c>
      <c r="J18" s="1155">
        <f t="shared" si="1"/>
        <v>0</v>
      </c>
      <c r="K18" s="1155">
        <f t="shared" si="2"/>
        <v>0</v>
      </c>
      <c r="L18" s="1155">
        <f t="shared" si="3"/>
        <v>0</v>
      </c>
      <c r="M18" s="1156">
        <f t="shared" si="6"/>
        <v>0</v>
      </c>
      <c r="N18" s="1156">
        <f t="shared" si="6"/>
        <v>0</v>
      </c>
      <c r="O18" s="1156">
        <f t="shared" si="6"/>
        <v>0</v>
      </c>
      <c r="P18" s="1156">
        <f t="shared" si="6"/>
        <v>0</v>
      </c>
    </row>
    <row r="19" spans="1:16">
      <c r="A19" s="1151">
        <f t="shared" si="5"/>
        <v>14</v>
      </c>
      <c r="B19" s="1152" t="s">
        <v>514</v>
      </c>
      <c r="C19" s="1153" t="s">
        <v>501</v>
      </c>
      <c r="D19" s="1153">
        <v>1</v>
      </c>
      <c r="E19" s="1153">
        <v>1.2</v>
      </c>
      <c r="F19" s="1153"/>
      <c r="G19" s="1153"/>
      <c r="H19" s="1154">
        <v>160.02000000000001</v>
      </c>
      <c r="I19" s="1155">
        <f t="shared" si="0"/>
        <v>0.16</v>
      </c>
      <c r="J19" s="1155">
        <f t="shared" si="1"/>
        <v>0.19</v>
      </c>
      <c r="K19" s="1155">
        <f t="shared" si="2"/>
        <v>0</v>
      </c>
      <c r="L19" s="1155">
        <f t="shared" si="3"/>
        <v>0</v>
      </c>
      <c r="M19" s="1156">
        <f t="shared" si="6"/>
        <v>0.23199999999999998</v>
      </c>
      <c r="N19" s="1156">
        <f t="shared" si="6"/>
        <v>0.27549999999999997</v>
      </c>
      <c r="O19" s="1156">
        <f t="shared" si="6"/>
        <v>0</v>
      </c>
      <c r="P19" s="1156">
        <f t="shared" si="6"/>
        <v>0</v>
      </c>
    </row>
    <row r="20" spans="1:16">
      <c r="A20" s="1151">
        <f t="shared" si="5"/>
        <v>15</v>
      </c>
      <c r="B20" s="1152" t="s">
        <v>515</v>
      </c>
      <c r="C20" s="1153" t="s">
        <v>501</v>
      </c>
      <c r="D20" s="1153">
        <v>0.5</v>
      </c>
      <c r="E20" s="1153">
        <v>0.6</v>
      </c>
      <c r="F20" s="1153">
        <v>1.2</v>
      </c>
      <c r="G20" s="1153">
        <v>1.2</v>
      </c>
      <c r="H20" s="1154">
        <v>433.83</v>
      </c>
      <c r="I20" s="1155">
        <f t="shared" si="0"/>
        <v>0.22</v>
      </c>
      <c r="J20" s="1155">
        <f t="shared" si="1"/>
        <v>0.26</v>
      </c>
      <c r="K20" s="1155">
        <f t="shared" si="2"/>
        <v>0.52</v>
      </c>
      <c r="L20" s="1155">
        <f t="shared" si="3"/>
        <v>0.52</v>
      </c>
      <c r="M20" s="1156">
        <f t="shared" si="6"/>
        <v>0.31900000000000001</v>
      </c>
      <c r="N20" s="1156">
        <f t="shared" si="6"/>
        <v>0.377</v>
      </c>
      <c r="O20" s="1156">
        <f t="shared" si="6"/>
        <v>0.754</v>
      </c>
      <c r="P20" s="1156">
        <f t="shared" si="6"/>
        <v>0.754</v>
      </c>
    </row>
    <row r="21" spans="1:16">
      <c r="A21" s="1151">
        <f t="shared" si="5"/>
        <v>16</v>
      </c>
      <c r="B21" s="1152" t="s">
        <v>516</v>
      </c>
      <c r="C21" s="1153" t="s">
        <v>501</v>
      </c>
      <c r="D21" s="1153">
        <v>0.5</v>
      </c>
      <c r="E21" s="1153">
        <v>0.6</v>
      </c>
      <c r="F21" s="1153">
        <v>0.4</v>
      </c>
      <c r="G21" s="1153">
        <v>0.4</v>
      </c>
      <c r="H21" s="1154">
        <v>453.48</v>
      </c>
      <c r="I21" s="1155">
        <f t="shared" si="0"/>
        <v>0.23</v>
      </c>
      <c r="J21" s="1155">
        <f t="shared" si="1"/>
        <v>0.27</v>
      </c>
      <c r="K21" s="1155">
        <f t="shared" si="2"/>
        <v>0.18</v>
      </c>
      <c r="L21" s="1155">
        <f t="shared" si="3"/>
        <v>0.18</v>
      </c>
      <c r="M21" s="1156">
        <f t="shared" si="6"/>
        <v>0.33350000000000002</v>
      </c>
      <c r="N21" s="1156">
        <f t="shared" si="6"/>
        <v>0.39150000000000001</v>
      </c>
      <c r="O21" s="1156">
        <f t="shared" si="6"/>
        <v>0.26100000000000001</v>
      </c>
      <c r="P21" s="1156">
        <f t="shared" si="6"/>
        <v>0.26100000000000001</v>
      </c>
    </row>
    <row r="22" spans="1:16" ht="31.5">
      <c r="A22" s="1151">
        <f t="shared" si="5"/>
        <v>17</v>
      </c>
      <c r="B22" s="1152" t="s">
        <v>517</v>
      </c>
      <c r="C22" s="1153" t="s">
        <v>501</v>
      </c>
      <c r="D22" s="1153">
        <f>ROUND((55+68)/2,0)</f>
        <v>62</v>
      </c>
      <c r="E22" s="1153">
        <f>ROUND((60.5+75)/2,0)</f>
        <v>68</v>
      </c>
      <c r="F22" s="1153">
        <f>ROUND((77+95)/2,0)</f>
        <v>86</v>
      </c>
      <c r="G22" s="1153">
        <f>ROUND((86+105)/2,0)</f>
        <v>96</v>
      </c>
      <c r="H22" s="1154">
        <v>343.08</v>
      </c>
      <c r="I22" s="1155">
        <f t="shared" si="0"/>
        <v>21.27</v>
      </c>
      <c r="J22" s="1155">
        <f t="shared" si="1"/>
        <v>23.33</v>
      </c>
      <c r="K22" s="1155">
        <f t="shared" si="2"/>
        <v>29.5</v>
      </c>
      <c r="L22" s="1155">
        <f t="shared" si="3"/>
        <v>32.94</v>
      </c>
      <c r="M22" s="1156">
        <f t="shared" si="6"/>
        <v>30.8415</v>
      </c>
      <c r="N22" s="1156">
        <f t="shared" si="6"/>
        <v>33.828499999999998</v>
      </c>
      <c r="O22" s="1156">
        <f t="shared" si="6"/>
        <v>42.774999999999999</v>
      </c>
      <c r="P22" s="1156">
        <f t="shared" si="6"/>
        <v>47.762999999999998</v>
      </c>
    </row>
    <row r="23" spans="1:16">
      <c r="A23" s="1151">
        <f t="shared" si="5"/>
        <v>18</v>
      </c>
      <c r="B23" s="1152" t="s">
        <v>518</v>
      </c>
      <c r="C23" s="1153" t="s">
        <v>501</v>
      </c>
      <c r="D23" s="1153">
        <v>23</v>
      </c>
      <c r="E23" s="1153">
        <v>27</v>
      </c>
      <c r="F23" s="1153">
        <v>40</v>
      </c>
      <c r="G23" s="1153">
        <v>60</v>
      </c>
      <c r="H23" s="1154">
        <v>160.56</v>
      </c>
      <c r="I23" s="1155">
        <f t="shared" si="0"/>
        <v>3.69</v>
      </c>
      <c r="J23" s="1155">
        <f t="shared" si="1"/>
        <v>4.34</v>
      </c>
      <c r="K23" s="1155">
        <f t="shared" si="2"/>
        <v>6.42</v>
      </c>
      <c r="L23" s="1155">
        <f t="shared" si="3"/>
        <v>9.6300000000000008</v>
      </c>
      <c r="M23" s="1156">
        <f t="shared" si="6"/>
        <v>5.3504999999999994</v>
      </c>
      <c r="N23" s="1156">
        <f t="shared" si="6"/>
        <v>6.2929999999999993</v>
      </c>
      <c r="O23" s="1156">
        <f t="shared" si="6"/>
        <v>9.3089999999999993</v>
      </c>
      <c r="P23" s="1156">
        <f t="shared" si="6"/>
        <v>13.963500000000002</v>
      </c>
    </row>
    <row r="24" spans="1:16">
      <c r="A24" s="1151">
        <f t="shared" si="5"/>
        <v>19</v>
      </c>
      <c r="B24" s="1152" t="s">
        <v>519</v>
      </c>
      <c r="C24" s="1153" t="s">
        <v>501</v>
      </c>
      <c r="D24" s="1153"/>
      <c r="E24" s="1153"/>
      <c r="F24" s="1153"/>
      <c r="G24" s="1153"/>
      <c r="H24" s="1154"/>
      <c r="I24" s="1155">
        <f t="shared" si="0"/>
        <v>0</v>
      </c>
      <c r="J24" s="1155">
        <f t="shared" si="1"/>
        <v>0</v>
      </c>
      <c r="K24" s="1155">
        <f t="shared" si="2"/>
        <v>0</v>
      </c>
      <c r="L24" s="1155">
        <f t="shared" si="3"/>
        <v>0</v>
      </c>
      <c r="M24" s="1156">
        <f t="shared" ref="M24:P36" si="7">I24*1.45</f>
        <v>0</v>
      </c>
      <c r="N24" s="1156">
        <f t="shared" si="7"/>
        <v>0</v>
      </c>
      <c r="O24" s="1156">
        <f t="shared" si="7"/>
        <v>0</v>
      </c>
      <c r="P24" s="1156">
        <f t="shared" si="7"/>
        <v>0</v>
      </c>
    </row>
    <row r="25" spans="1:16">
      <c r="A25" s="1151">
        <f t="shared" si="5"/>
        <v>20</v>
      </c>
      <c r="B25" s="1152" t="s">
        <v>520</v>
      </c>
      <c r="C25" s="1153" t="s">
        <v>501</v>
      </c>
      <c r="D25" s="1153"/>
      <c r="E25" s="1153"/>
      <c r="F25" s="1153"/>
      <c r="G25" s="1153"/>
      <c r="H25" s="1154"/>
      <c r="I25" s="1155">
        <f t="shared" si="0"/>
        <v>0</v>
      </c>
      <c r="J25" s="1155">
        <f t="shared" si="1"/>
        <v>0</v>
      </c>
      <c r="K25" s="1155">
        <f t="shared" si="2"/>
        <v>0</v>
      </c>
      <c r="L25" s="1155">
        <f t="shared" si="3"/>
        <v>0</v>
      </c>
      <c r="M25" s="1156">
        <f t="shared" si="7"/>
        <v>0</v>
      </c>
      <c r="N25" s="1156">
        <f t="shared" si="7"/>
        <v>0</v>
      </c>
      <c r="O25" s="1156">
        <f t="shared" si="7"/>
        <v>0</v>
      </c>
      <c r="P25" s="1156">
        <f t="shared" si="7"/>
        <v>0</v>
      </c>
    </row>
    <row r="26" spans="1:16">
      <c r="A26" s="1151">
        <f t="shared" si="5"/>
        <v>21</v>
      </c>
      <c r="B26" s="1152" t="s">
        <v>521</v>
      </c>
      <c r="C26" s="1153" t="s">
        <v>501</v>
      </c>
      <c r="D26" s="1153">
        <v>34</v>
      </c>
      <c r="E26" s="1153">
        <v>39</v>
      </c>
      <c r="F26" s="1153">
        <v>60</v>
      </c>
      <c r="G26" s="1153">
        <v>80</v>
      </c>
      <c r="H26" s="1154">
        <v>237.17</v>
      </c>
      <c r="I26" s="1155">
        <f t="shared" si="0"/>
        <v>8.06</v>
      </c>
      <c r="J26" s="1155">
        <f t="shared" si="1"/>
        <v>9.25</v>
      </c>
      <c r="K26" s="1155">
        <f t="shared" si="2"/>
        <v>14.23</v>
      </c>
      <c r="L26" s="1155">
        <f t="shared" si="3"/>
        <v>18.97</v>
      </c>
      <c r="M26" s="1156">
        <f t="shared" si="7"/>
        <v>11.687000000000001</v>
      </c>
      <c r="N26" s="1156">
        <f t="shared" si="7"/>
        <v>13.4125</v>
      </c>
      <c r="O26" s="1156">
        <f t="shared" si="7"/>
        <v>20.633500000000002</v>
      </c>
      <c r="P26" s="1156">
        <f t="shared" si="7"/>
        <v>27.506499999999999</v>
      </c>
    </row>
    <row r="27" spans="1:16">
      <c r="A27" s="1151">
        <f t="shared" si="5"/>
        <v>22</v>
      </c>
      <c r="B27" s="1152" t="s">
        <v>522</v>
      </c>
      <c r="C27" s="1153" t="s">
        <v>501</v>
      </c>
      <c r="D27" s="1153"/>
      <c r="E27" s="1153">
        <v>7</v>
      </c>
      <c r="F27" s="1153">
        <v>15</v>
      </c>
      <c r="G27" s="1153">
        <v>20</v>
      </c>
      <c r="H27" s="1154">
        <v>347.49</v>
      </c>
      <c r="I27" s="1155">
        <f t="shared" si="0"/>
        <v>0</v>
      </c>
      <c r="J27" s="1155">
        <f t="shared" si="1"/>
        <v>2.4300000000000002</v>
      </c>
      <c r="K27" s="1155">
        <f t="shared" si="2"/>
        <v>5.21</v>
      </c>
      <c r="L27" s="1155">
        <f t="shared" si="3"/>
        <v>6.95</v>
      </c>
      <c r="M27" s="1156">
        <f t="shared" si="7"/>
        <v>0</v>
      </c>
      <c r="N27" s="1156">
        <f t="shared" si="7"/>
        <v>3.5235000000000003</v>
      </c>
      <c r="O27" s="1156">
        <f t="shared" si="7"/>
        <v>7.5545</v>
      </c>
      <c r="P27" s="1156">
        <f t="shared" si="7"/>
        <v>10.077500000000001</v>
      </c>
    </row>
    <row r="28" spans="1:16" ht="47.25">
      <c r="A28" s="1151">
        <f t="shared" si="5"/>
        <v>23</v>
      </c>
      <c r="B28" s="1152" t="s">
        <v>523</v>
      </c>
      <c r="C28" s="1153" t="s">
        <v>501</v>
      </c>
      <c r="D28" s="1153">
        <v>390</v>
      </c>
      <c r="E28" s="1153">
        <v>450</v>
      </c>
      <c r="F28" s="1153">
        <v>450</v>
      </c>
      <c r="G28" s="1153">
        <v>480</v>
      </c>
      <c r="H28" s="1154">
        <v>59.2</v>
      </c>
      <c r="I28" s="1155">
        <f t="shared" si="0"/>
        <v>23.09</v>
      </c>
      <c r="J28" s="1155">
        <f t="shared" si="1"/>
        <v>26.64</v>
      </c>
      <c r="K28" s="1155">
        <f t="shared" si="2"/>
        <v>26.64</v>
      </c>
      <c r="L28" s="1155">
        <f t="shared" si="3"/>
        <v>28.42</v>
      </c>
      <c r="M28" s="1156">
        <f t="shared" si="7"/>
        <v>33.480499999999999</v>
      </c>
      <c r="N28" s="1156">
        <f t="shared" si="7"/>
        <v>38.628</v>
      </c>
      <c r="O28" s="1156">
        <f t="shared" si="7"/>
        <v>38.628</v>
      </c>
      <c r="P28" s="1156">
        <f t="shared" si="7"/>
        <v>41.209000000000003</v>
      </c>
    </row>
    <row r="29" spans="1:16" ht="31.5">
      <c r="A29" s="1151">
        <f t="shared" si="5"/>
        <v>24</v>
      </c>
      <c r="B29" s="1152" t="s">
        <v>524</v>
      </c>
      <c r="C29" s="1153" t="s">
        <v>501</v>
      </c>
      <c r="D29" s="1153">
        <v>30</v>
      </c>
      <c r="E29" s="1153">
        <v>40</v>
      </c>
      <c r="F29" s="1153">
        <v>50</v>
      </c>
      <c r="G29" s="1153">
        <v>60</v>
      </c>
      <c r="H29" s="1154">
        <v>313.52</v>
      </c>
      <c r="I29" s="1155">
        <f t="shared" si="0"/>
        <v>9.41</v>
      </c>
      <c r="J29" s="1155">
        <f t="shared" si="1"/>
        <v>12.54</v>
      </c>
      <c r="K29" s="1155">
        <f t="shared" si="2"/>
        <v>15.68</v>
      </c>
      <c r="L29" s="1155">
        <f t="shared" si="3"/>
        <v>18.809999999999999</v>
      </c>
      <c r="M29" s="1156">
        <f t="shared" si="7"/>
        <v>13.644499999999999</v>
      </c>
      <c r="N29" s="1156">
        <f t="shared" si="7"/>
        <v>18.183</v>
      </c>
      <c r="O29" s="1156">
        <f t="shared" si="7"/>
        <v>22.736000000000001</v>
      </c>
      <c r="P29" s="1156">
        <f t="shared" si="7"/>
        <v>27.274499999999996</v>
      </c>
    </row>
    <row r="30" spans="1:16">
      <c r="A30" s="1151">
        <f t="shared" si="5"/>
        <v>25</v>
      </c>
      <c r="B30" s="1152" t="s">
        <v>525</v>
      </c>
      <c r="C30" s="1153" t="s">
        <v>501</v>
      </c>
      <c r="D30" s="1153">
        <v>9</v>
      </c>
      <c r="E30" s="1153">
        <v>11</v>
      </c>
      <c r="F30" s="1153">
        <v>10</v>
      </c>
      <c r="G30" s="1153">
        <v>10</v>
      </c>
      <c r="H30" s="1154">
        <v>179.36</v>
      </c>
      <c r="I30" s="1155">
        <f t="shared" si="0"/>
        <v>1.61</v>
      </c>
      <c r="J30" s="1155">
        <f t="shared" si="1"/>
        <v>1.97</v>
      </c>
      <c r="K30" s="1155">
        <f t="shared" si="2"/>
        <v>1.79</v>
      </c>
      <c r="L30" s="1155">
        <f t="shared" si="3"/>
        <v>1.79</v>
      </c>
      <c r="M30" s="1156">
        <f t="shared" si="7"/>
        <v>2.3345000000000002</v>
      </c>
      <c r="N30" s="1156">
        <f t="shared" si="7"/>
        <v>2.8565</v>
      </c>
      <c r="O30" s="1156">
        <f t="shared" si="7"/>
        <v>2.5954999999999999</v>
      </c>
      <c r="P30" s="1156">
        <f t="shared" si="7"/>
        <v>2.5954999999999999</v>
      </c>
    </row>
    <row r="31" spans="1:16">
      <c r="A31" s="1151">
        <f t="shared" si="5"/>
        <v>26</v>
      </c>
      <c r="B31" s="1152" t="s">
        <v>526</v>
      </c>
      <c r="C31" s="1153" t="s">
        <v>501</v>
      </c>
      <c r="D31" s="1153">
        <v>4.3</v>
      </c>
      <c r="E31" s="1153">
        <v>6.4</v>
      </c>
      <c r="F31" s="1153">
        <v>10</v>
      </c>
      <c r="G31" s="1153">
        <v>12</v>
      </c>
      <c r="H31" s="1154">
        <v>371.23</v>
      </c>
      <c r="I31" s="1155">
        <f t="shared" si="0"/>
        <v>1.6</v>
      </c>
      <c r="J31" s="1155">
        <f t="shared" si="1"/>
        <v>2.38</v>
      </c>
      <c r="K31" s="1155">
        <f t="shared" si="2"/>
        <v>3.71</v>
      </c>
      <c r="L31" s="1155">
        <f t="shared" si="3"/>
        <v>4.45</v>
      </c>
      <c r="M31" s="1156">
        <f t="shared" si="7"/>
        <v>2.3199999999999998</v>
      </c>
      <c r="N31" s="1156">
        <f t="shared" si="7"/>
        <v>3.4509999999999996</v>
      </c>
      <c r="O31" s="1156">
        <f t="shared" si="7"/>
        <v>5.3795000000000002</v>
      </c>
      <c r="P31" s="1156">
        <f t="shared" si="7"/>
        <v>6.4524999999999997</v>
      </c>
    </row>
    <row r="32" spans="1:16">
      <c r="A32" s="1151">
        <f t="shared" si="5"/>
        <v>27</v>
      </c>
      <c r="B32" s="1152" t="s">
        <v>527</v>
      </c>
      <c r="C32" s="1153" t="s">
        <v>501</v>
      </c>
      <c r="D32" s="1153">
        <v>18</v>
      </c>
      <c r="E32" s="1153">
        <v>21</v>
      </c>
      <c r="F32" s="1153">
        <v>30</v>
      </c>
      <c r="G32" s="1153">
        <v>35</v>
      </c>
      <c r="H32" s="1154">
        <v>389.19</v>
      </c>
      <c r="I32" s="1155">
        <f t="shared" si="0"/>
        <v>7.01</v>
      </c>
      <c r="J32" s="1155">
        <f t="shared" si="1"/>
        <v>8.17</v>
      </c>
      <c r="K32" s="1155">
        <f t="shared" si="2"/>
        <v>11.68</v>
      </c>
      <c r="L32" s="1155">
        <f t="shared" si="3"/>
        <v>13.62</v>
      </c>
      <c r="M32" s="1156">
        <f t="shared" si="7"/>
        <v>10.164499999999999</v>
      </c>
      <c r="N32" s="1156">
        <f t="shared" si="7"/>
        <v>11.846499999999999</v>
      </c>
      <c r="O32" s="1156">
        <f t="shared" si="7"/>
        <v>16.936</v>
      </c>
      <c r="P32" s="1156">
        <f t="shared" si="7"/>
        <v>19.748999999999999</v>
      </c>
    </row>
    <row r="33" spans="1:17">
      <c r="A33" s="1151">
        <f t="shared" si="5"/>
        <v>28</v>
      </c>
      <c r="B33" s="1152" t="s">
        <v>528</v>
      </c>
      <c r="C33" s="1153" t="s">
        <v>501</v>
      </c>
      <c r="D33" s="1153"/>
      <c r="E33" s="1153"/>
      <c r="F33" s="1153"/>
      <c r="G33" s="1153"/>
      <c r="H33" s="1154"/>
      <c r="I33" s="1155">
        <f t="shared" si="0"/>
        <v>0</v>
      </c>
      <c r="J33" s="1155">
        <f t="shared" si="1"/>
        <v>0</v>
      </c>
      <c r="K33" s="1155">
        <f t="shared" si="2"/>
        <v>0</v>
      </c>
      <c r="L33" s="1155">
        <f t="shared" si="3"/>
        <v>0</v>
      </c>
      <c r="M33" s="1156">
        <f t="shared" si="7"/>
        <v>0</v>
      </c>
      <c r="N33" s="1156">
        <f t="shared" si="7"/>
        <v>0</v>
      </c>
      <c r="O33" s="1156">
        <f t="shared" si="7"/>
        <v>0</v>
      </c>
      <c r="P33" s="1156">
        <f t="shared" si="7"/>
        <v>0</v>
      </c>
    </row>
    <row r="34" spans="1:17">
      <c r="A34" s="1151">
        <f t="shared" si="5"/>
        <v>29</v>
      </c>
      <c r="B34" s="1152" t="s">
        <v>529</v>
      </c>
      <c r="C34" s="1153" t="s">
        <v>501</v>
      </c>
      <c r="D34" s="1153">
        <v>9</v>
      </c>
      <c r="E34" s="1153">
        <v>11</v>
      </c>
      <c r="F34" s="1153">
        <v>15</v>
      </c>
      <c r="G34" s="1153">
        <v>18</v>
      </c>
      <c r="H34" s="1154">
        <v>87.65</v>
      </c>
      <c r="I34" s="1155">
        <f t="shared" si="0"/>
        <v>0.79</v>
      </c>
      <c r="J34" s="1155">
        <f t="shared" si="1"/>
        <v>0.96</v>
      </c>
      <c r="K34" s="1155">
        <f t="shared" si="2"/>
        <v>1.31</v>
      </c>
      <c r="L34" s="1155">
        <f t="shared" si="3"/>
        <v>1.58</v>
      </c>
      <c r="M34" s="1156">
        <f t="shared" si="7"/>
        <v>1.1455</v>
      </c>
      <c r="N34" s="1156">
        <f t="shared" si="7"/>
        <v>1.3919999999999999</v>
      </c>
      <c r="O34" s="1156">
        <f t="shared" si="7"/>
        <v>1.8995</v>
      </c>
      <c r="P34" s="1156">
        <f t="shared" si="7"/>
        <v>2.2909999999999999</v>
      </c>
    </row>
    <row r="35" spans="1:17">
      <c r="A35" s="1151">
        <f t="shared" si="5"/>
        <v>30</v>
      </c>
      <c r="B35" s="1152" t="s">
        <v>530</v>
      </c>
      <c r="C35" s="1153" t="s">
        <v>1135</v>
      </c>
      <c r="D35" s="1153">
        <v>0.5</v>
      </c>
      <c r="E35" s="1153">
        <v>0.6</v>
      </c>
      <c r="F35" s="1153">
        <v>1</v>
      </c>
      <c r="G35" s="1153">
        <v>1</v>
      </c>
      <c r="H35" s="1154">
        <v>58.26</v>
      </c>
      <c r="I35" s="1155">
        <f>ROUND(D35*H35/10,2)</f>
        <v>2.91</v>
      </c>
      <c r="J35" s="1155">
        <f>ROUND(E35*H35/10,2)</f>
        <v>3.5</v>
      </c>
      <c r="K35" s="1155">
        <f>ROUND(F35*H35/10,2)</f>
        <v>5.83</v>
      </c>
      <c r="L35" s="1155">
        <f>ROUND(G35*H35/10,2)</f>
        <v>5.83</v>
      </c>
      <c r="M35" s="1156">
        <f t="shared" si="7"/>
        <v>4.2195</v>
      </c>
      <c r="N35" s="1156">
        <f t="shared" si="7"/>
        <v>5.0750000000000002</v>
      </c>
      <c r="O35" s="1156">
        <f t="shared" si="7"/>
        <v>8.4535</v>
      </c>
      <c r="P35" s="1156">
        <f t="shared" si="7"/>
        <v>8.4535</v>
      </c>
    </row>
    <row r="36" spans="1:17">
      <c r="A36" s="1151">
        <f t="shared" si="5"/>
        <v>31</v>
      </c>
      <c r="B36" s="1152" t="s">
        <v>531</v>
      </c>
      <c r="C36" s="1153" t="s">
        <v>501</v>
      </c>
      <c r="D36" s="1153"/>
      <c r="E36" s="1153"/>
      <c r="F36" s="1153"/>
      <c r="G36" s="1153"/>
      <c r="H36" s="1154"/>
      <c r="I36" s="1155">
        <f>ROUND(D36*H36/1000,2)</f>
        <v>0</v>
      </c>
      <c r="J36" s="1155">
        <f>ROUND(E36*H36/1000,2)</f>
        <v>0</v>
      </c>
      <c r="K36" s="1155">
        <f>ROUND(F36*H36/1000,2)</f>
        <v>0</v>
      </c>
      <c r="L36" s="1155">
        <f>ROUND(G36*H36/1000,2)</f>
        <v>0</v>
      </c>
      <c r="M36" s="1156">
        <f t="shared" si="7"/>
        <v>0</v>
      </c>
      <c r="N36" s="1156">
        <f t="shared" si="7"/>
        <v>0</v>
      </c>
      <c r="O36" s="1156">
        <f t="shared" si="7"/>
        <v>0</v>
      </c>
      <c r="P36" s="1156">
        <f t="shared" si="7"/>
        <v>0</v>
      </c>
    </row>
    <row r="37" spans="1:17" ht="31.5">
      <c r="A37" s="1151">
        <f t="shared" si="5"/>
        <v>32</v>
      </c>
      <c r="B37" s="1152" t="s">
        <v>532</v>
      </c>
      <c r="C37" s="1153" t="s">
        <v>501</v>
      </c>
      <c r="D37" s="1153">
        <v>4</v>
      </c>
      <c r="E37" s="1153">
        <v>6</v>
      </c>
      <c r="F37" s="1153">
        <v>5</v>
      </c>
      <c r="G37" s="1153">
        <v>7</v>
      </c>
      <c r="H37" s="1154">
        <v>16.09</v>
      </c>
      <c r="I37" s="1155">
        <f>ROUND(D37*H37/1000,2)</f>
        <v>0.06</v>
      </c>
      <c r="J37" s="1155">
        <f>ROUND(E37*H37/1000,2)</f>
        <v>0.1</v>
      </c>
      <c r="K37" s="1155">
        <f>ROUND(F37*H37/1000,2)</f>
        <v>0.08</v>
      </c>
      <c r="L37" s="1155">
        <f>ROUND(G37*H37/1000,2)</f>
        <v>0.11</v>
      </c>
      <c r="M37" s="1156">
        <f>I37*1.2</f>
        <v>7.1999999999999995E-2</v>
      </c>
      <c r="N37" s="1156">
        <f>J37*1.2</f>
        <v>0.12</v>
      </c>
      <c r="O37" s="1156">
        <f>K37*1.2</f>
        <v>9.6000000000000002E-2</v>
      </c>
      <c r="P37" s="1156">
        <f>L37*1.2</f>
        <v>0.13200000000000001</v>
      </c>
    </row>
    <row r="38" spans="1:17" ht="31.5">
      <c r="A38" s="1151">
        <f t="shared" si="5"/>
        <v>33</v>
      </c>
      <c r="B38" s="1152" t="s">
        <v>533</v>
      </c>
      <c r="C38" s="1153" t="s">
        <v>501</v>
      </c>
      <c r="D38" s="1153">
        <v>0.4</v>
      </c>
      <c r="E38" s="1153">
        <v>0.5</v>
      </c>
      <c r="F38" s="1153">
        <v>1</v>
      </c>
      <c r="G38" s="1153">
        <v>2</v>
      </c>
      <c r="H38" s="1154">
        <v>68.849999999999994</v>
      </c>
      <c r="I38" s="1155">
        <f>ROUND(D38*H38/1000,2)</f>
        <v>0.03</v>
      </c>
      <c r="J38" s="1155">
        <f>ROUND(E38*H38/1000,2)</f>
        <v>0.03</v>
      </c>
      <c r="K38" s="1155">
        <f>ROUND(F38*H38/1000,2)</f>
        <v>7.0000000000000007E-2</v>
      </c>
      <c r="L38" s="1155">
        <f>ROUND(G38*H38/1000,2)</f>
        <v>0.14000000000000001</v>
      </c>
      <c r="M38" s="1156">
        <f t="shared" ref="M38:P39" si="8">I38*1.45</f>
        <v>4.3499999999999997E-2</v>
      </c>
      <c r="N38" s="1156">
        <f t="shared" si="8"/>
        <v>4.3499999999999997E-2</v>
      </c>
      <c r="O38" s="1156">
        <f t="shared" si="8"/>
        <v>0.10150000000000001</v>
      </c>
      <c r="P38" s="1156">
        <f t="shared" si="8"/>
        <v>0.20300000000000001</v>
      </c>
    </row>
    <row r="39" spans="1:17">
      <c r="A39" s="1151">
        <f t="shared" si="5"/>
        <v>34</v>
      </c>
      <c r="B39" s="1152" t="s">
        <v>534</v>
      </c>
      <c r="C39" s="1153" t="s">
        <v>501</v>
      </c>
      <c r="D39" s="1153"/>
      <c r="E39" s="1153"/>
      <c r="F39" s="1153"/>
      <c r="G39" s="1153"/>
      <c r="H39" s="1158"/>
      <c r="I39" s="1155">
        <f>ROUND(D39*H39/1000,2)</f>
        <v>0</v>
      </c>
      <c r="J39" s="1155">
        <f>ROUND(E39*H39/1000,2)</f>
        <v>0</v>
      </c>
      <c r="K39" s="1155">
        <f>ROUND(F39*H39/1000,2)</f>
        <v>0</v>
      </c>
      <c r="L39" s="1155">
        <f>ROUND(G39*H39/1000,2)</f>
        <v>0</v>
      </c>
      <c r="M39" s="1156">
        <f t="shared" si="8"/>
        <v>0</v>
      </c>
      <c r="N39" s="1156">
        <f t="shared" si="8"/>
        <v>0</v>
      </c>
      <c r="O39" s="1156">
        <f t="shared" si="8"/>
        <v>0</v>
      </c>
      <c r="P39" s="1156">
        <f t="shared" si="8"/>
        <v>0</v>
      </c>
    </row>
    <row r="40" spans="1:17" s="1162" customFormat="1" ht="15.75" customHeight="1">
      <c r="A40" s="1159"/>
      <c r="B40" s="1946" t="s">
        <v>1527</v>
      </c>
      <c r="C40" s="1947"/>
      <c r="D40" s="1947"/>
      <c r="E40" s="1947"/>
      <c r="F40" s="1947"/>
      <c r="G40" s="1947"/>
      <c r="H40" s="1947"/>
      <c r="I40" s="1160">
        <f t="shared" ref="I40:P40" si="9">SUM(I6:I39)</f>
        <v>149.13999999999999</v>
      </c>
      <c r="J40" s="1160">
        <f t="shared" si="9"/>
        <v>186.75</v>
      </c>
      <c r="K40" s="1160">
        <f t="shared" si="9"/>
        <v>233.47000000000003</v>
      </c>
      <c r="L40" s="1160">
        <f t="shared" si="9"/>
        <v>267.94999999999987</v>
      </c>
      <c r="M40" s="1161">
        <f>SUM(M6:M39)</f>
        <v>214.63550000000004</v>
      </c>
      <c r="N40" s="1161">
        <f>SUM(N6:N39)</f>
        <v>268.66999999999996</v>
      </c>
      <c r="O40" s="1161">
        <f t="shared" si="9"/>
        <v>334.76149999999996</v>
      </c>
      <c r="P40" s="1161">
        <f t="shared" si="9"/>
        <v>383.33</v>
      </c>
    </row>
    <row r="41" spans="1:17" s="1162" customFormat="1" ht="15.75" customHeight="1">
      <c r="A41" s="1159"/>
      <c r="B41" s="1941" t="s">
        <v>535</v>
      </c>
      <c r="C41" s="1941"/>
      <c r="D41" s="1941"/>
      <c r="E41" s="1941"/>
      <c r="F41" s="1941"/>
      <c r="G41" s="1941"/>
      <c r="H41" s="1941"/>
      <c r="I41" s="1160">
        <f t="shared" ref="I41:P41" si="10">ROUND(I40/1.1,2)</f>
        <v>135.58000000000001</v>
      </c>
      <c r="J41" s="1160">
        <f t="shared" si="10"/>
        <v>169.77</v>
      </c>
      <c r="K41" s="1160">
        <f t="shared" si="10"/>
        <v>212.25</v>
      </c>
      <c r="L41" s="1160">
        <f t="shared" si="10"/>
        <v>243.59</v>
      </c>
      <c r="M41" s="1163">
        <f t="shared" si="10"/>
        <v>195.12</v>
      </c>
      <c r="N41" s="1163">
        <f t="shared" si="10"/>
        <v>244.25</v>
      </c>
      <c r="O41" s="1163">
        <f t="shared" si="10"/>
        <v>304.33</v>
      </c>
      <c r="P41" s="1163">
        <f t="shared" si="10"/>
        <v>348.48</v>
      </c>
    </row>
    <row r="42" spans="1:17" s="1162" customFormat="1" ht="15.75" customHeight="1">
      <c r="A42" s="1159"/>
      <c r="B42" s="1941" t="s">
        <v>536</v>
      </c>
      <c r="C42" s="1941"/>
      <c r="D42" s="1941"/>
      <c r="E42" s="1941"/>
      <c r="F42" s="1941"/>
      <c r="G42" s="1941"/>
      <c r="H42" s="1941"/>
      <c r="I42" s="1160">
        <f t="shared" ref="I42:P42" si="11">ROUND(I41*0.65,2)</f>
        <v>88.13</v>
      </c>
      <c r="J42" s="1160">
        <f t="shared" si="11"/>
        <v>110.35</v>
      </c>
      <c r="K42" s="1160">
        <f t="shared" si="11"/>
        <v>137.96</v>
      </c>
      <c r="L42" s="1160">
        <f t="shared" si="11"/>
        <v>158.33000000000001</v>
      </c>
      <c r="M42" s="1163">
        <f t="shared" si="11"/>
        <v>126.83</v>
      </c>
      <c r="N42" s="1163">
        <f t="shared" si="11"/>
        <v>158.76</v>
      </c>
      <c r="O42" s="1163">
        <f t="shared" si="11"/>
        <v>197.81</v>
      </c>
      <c r="P42" s="1163">
        <f t="shared" si="11"/>
        <v>226.51</v>
      </c>
    </row>
    <row r="43" spans="1:17" s="1165" customFormat="1">
      <c r="A43" s="1164"/>
    </row>
    <row r="44" spans="1:17" ht="21.75" customHeight="1">
      <c r="B44" s="1941" t="s">
        <v>537</v>
      </c>
      <c r="C44" s="1941"/>
      <c r="D44" s="1941"/>
      <c r="E44" s="1941"/>
      <c r="F44" s="1941"/>
      <c r="G44" s="1941"/>
      <c r="H44" s="1941"/>
      <c r="I44" s="1160">
        <f>I41</f>
        <v>135.58000000000001</v>
      </c>
      <c r="J44" s="1160">
        <f t="shared" ref="J44:P44" si="12">J41</f>
        <v>169.77</v>
      </c>
      <c r="K44" s="1166">
        <f t="shared" si="12"/>
        <v>212.25</v>
      </c>
      <c r="L44" s="1166">
        <f t="shared" si="12"/>
        <v>243.59</v>
      </c>
      <c r="M44" s="1163">
        <f>M41</f>
        <v>195.12</v>
      </c>
      <c r="N44" s="1163">
        <f t="shared" si="12"/>
        <v>244.25</v>
      </c>
      <c r="O44" s="1163">
        <f t="shared" si="12"/>
        <v>304.33</v>
      </c>
      <c r="P44" s="1163">
        <f t="shared" si="12"/>
        <v>348.48</v>
      </c>
      <c r="Q44" s="1167" t="s">
        <v>538</v>
      </c>
    </row>
    <row r="45" spans="1:17">
      <c r="B45" s="1942" t="s">
        <v>539</v>
      </c>
      <c r="C45" s="1942"/>
      <c r="D45" s="1942"/>
      <c r="E45" s="1942"/>
      <c r="F45" s="1942"/>
      <c r="G45" s="1942"/>
      <c r="H45" s="1942"/>
      <c r="I45" s="1168">
        <f>ROUND(I44*1.1,2)</f>
        <v>149.13999999999999</v>
      </c>
      <c r="J45" s="1168">
        <f t="shared" ref="J45:P45" si="13">ROUND(J44*1.1,2)</f>
        <v>186.75</v>
      </c>
      <c r="K45" s="1168">
        <f t="shared" si="13"/>
        <v>233.48</v>
      </c>
      <c r="L45" s="1168">
        <f t="shared" si="13"/>
        <v>267.95</v>
      </c>
      <c r="M45" s="1169">
        <f t="shared" si="13"/>
        <v>214.63</v>
      </c>
      <c r="N45" s="1169">
        <f t="shared" si="13"/>
        <v>268.68</v>
      </c>
      <c r="O45" s="1169">
        <f t="shared" si="13"/>
        <v>334.76</v>
      </c>
      <c r="P45" s="1169">
        <f t="shared" si="13"/>
        <v>383.33</v>
      </c>
      <c r="Q45" s="1170"/>
    </row>
    <row r="46" spans="1:17" s="1175" customFormat="1">
      <c r="A46" s="1171"/>
      <c r="B46" s="1941" t="s">
        <v>540</v>
      </c>
      <c r="C46" s="1941"/>
      <c r="D46" s="1941"/>
      <c r="E46" s="1941"/>
      <c r="F46" s="1941"/>
      <c r="G46" s="1941"/>
      <c r="H46" s="1941"/>
      <c r="I46" s="1172">
        <f t="shared" ref="I46:P46" si="14">I42</f>
        <v>88.13</v>
      </c>
      <c r="J46" s="1172">
        <f t="shared" si="14"/>
        <v>110.35</v>
      </c>
      <c r="K46" s="1173">
        <f t="shared" si="14"/>
        <v>137.96</v>
      </c>
      <c r="L46" s="1173">
        <f t="shared" si="14"/>
        <v>158.33000000000001</v>
      </c>
      <c r="M46" s="1163">
        <f t="shared" si="14"/>
        <v>126.83</v>
      </c>
      <c r="N46" s="1163">
        <f t="shared" si="14"/>
        <v>158.76</v>
      </c>
      <c r="O46" s="1163">
        <f t="shared" si="14"/>
        <v>197.81</v>
      </c>
      <c r="P46" s="1163">
        <f t="shared" si="14"/>
        <v>226.51</v>
      </c>
      <c r="Q46" s="1174" t="s">
        <v>541</v>
      </c>
    </row>
    <row r="47" spans="1:17" s="1165" customFormat="1">
      <c r="A47" s="1164"/>
    </row>
  </sheetData>
  <mergeCells count="10">
    <mergeCell ref="M4:P4"/>
    <mergeCell ref="B40:H40"/>
    <mergeCell ref="B41:H41"/>
    <mergeCell ref="B42:H42"/>
    <mergeCell ref="B46:H46"/>
    <mergeCell ref="B45:H45"/>
    <mergeCell ref="B1:J1"/>
    <mergeCell ref="B2:J2"/>
    <mergeCell ref="A3:L3"/>
    <mergeCell ref="B44:H44"/>
  </mergeCells>
  <phoneticPr fontId="116" type="noConversion"/>
  <pageMargins left="0.78740157480314965" right="0" top="0.55118110236220474" bottom="0.59055118110236227" header="0.19685039370078741" footer="0.51181102362204722"/>
  <pageSetup paperSize="9" scale="60" orientation="portrait" r:id="rId1"/>
  <headerFooter alignWithMargins="0"/>
  <colBreaks count="1" manualBreakCount="1">
    <brk id="12" max="46" man="1"/>
  </colBreaks>
  <legacyDrawing r:id="rId2"/>
</worksheet>
</file>

<file path=xl/worksheets/sheet48.xml><?xml version="1.0" encoding="utf-8"?>
<worksheet xmlns="http://schemas.openxmlformats.org/spreadsheetml/2006/main" xmlns:r="http://schemas.openxmlformats.org/officeDocument/2006/relationships">
  <sheetPr>
    <tabColor rgb="FF00B050"/>
    <pageSetUpPr fitToPage="1"/>
  </sheetPr>
  <dimension ref="A1:H49"/>
  <sheetViews>
    <sheetView view="pageBreakPreview" topLeftCell="A40" zoomScale="93" zoomScaleNormal="100" zoomScaleSheetLayoutView="93" workbookViewId="0">
      <selection activeCell="B35" sqref="B35"/>
    </sheetView>
  </sheetViews>
  <sheetFormatPr defaultColWidth="8.85546875" defaultRowHeight="12.75"/>
  <cols>
    <col min="1" max="1" width="18.7109375" style="1178" customWidth="1"/>
    <col min="2" max="2" width="16" style="1178" customWidth="1"/>
    <col min="3" max="3" width="22.140625" style="1178" customWidth="1"/>
    <col min="4" max="4" width="23.140625" style="1178" customWidth="1"/>
    <col min="5" max="5" width="18.42578125" style="1178" customWidth="1"/>
    <col min="6" max="6" width="17.7109375" style="1178" customWidth="1"/>
    <col min="7" max="16384" width="8.85546875" style="1178"/>
  </cols>
  <sheetData>
    <row r="1" spans="1:8" s="28" customFormat="1" ht="15.75">
      <c r="F1" s="209" t="s">
        <v>967</v>
      </c>
    </row>
    <row r="2" spans="1:8" s="28" customFormat="1" ht="15">
      <c r="A2" s="30"/>
      <c r="B2" s="30"/>
      <c r="C2" s="30"/>
      <c r="D2" s="30"/>
      <c r="E2" s="30"/>
      <c r="F2" s="30"/>
      <c r="G2" s="32"/>
    </row>
    <row r="3" spans="1:8" s="28" customFormat="1" ht="17.25" customHeight="1">
      <c r="A3" s="1809" t="s">
        <v>1725</v>
      </c>
      <c r="B3" s="1809"/>
      <c r="C3" s="1809"/>
      <c r="D3" s="1809"/>
      <c r="E3" s="1809"/>
      <c r="F3" s="1809"/>
    </row>
    <row r="4" spans="1:8" s="1176" customFormat="1" ht="17.25" customHeight="1">
      <c r="A4" s="1966" t="s">
        <v>542</v>
      </c>
      <c r="B4" s="1966"/>
      <c r="C4" s="1966"/>
      <c r="D4" s="1966"/>
      <c r="E4" s="1966"/>
      <c r="F4" s="1966"/>
    </row>
    <row r="5" spans="1:8" s="1176" customFormat="1" ht="17.25" customHeight="1">
      <c r="A5" s="1177"/>
      <c r="B5" s="1177"/>
      <c r="C5" s="1966" t="s">
        <v>749</v>
      </c>
      <c r="D5" s="1966"/>
      <c r="E5" s="1177"/>
      <c r="F5" s="1177"/>
    </row>
    <row r="6" spans="1:8" ht="15.75">
      <c r="A6" s="1146" t="s">
        <v>1568</v>
      </c>
      <c r="B6" s="1146"/>
      <c r="C6" s="1146"/>
      <c r="D6" s="1146"/>
      <c r="E6" s="1146"/>
      <c r="F6" s="1146"/>
    </row>
    <row r="7" spans="1:8" s="1179" customFormat="1" ht="15.75" customHeight="1">
      <c r="A7" s="1179" t="s">
        <v>1569</v>
      </c>
    </row>
    <row r="8" spans="1:8" s="1179" customFormat="1" ht="15.75" customHeight="1">
      <c r="A8" s="1179" t="s">
        <v>1570</v>
      </c>
    </row>
    <row r="9" spans="1:8" s="1179" customFormat="1" ht="15.75" customHeight="1">
      <c r="A9" s="1179" t="s">
        <v>1571</v>
      </c>
    </row>
    <row r="10" spans="1:8" s="1179" customFormat="1" ht="15.75" customHeight="1">
      <c r="A10" s="1179" t="s">
        <v>1572</v>
      </c>
    </row>
    <row r="11" spans="1:8" s="1179" customFormat="1" ht="15.75" customHeight="1">
      <c r="A11" s="1179" t="s">
        <v>1573</v>
      </c>
    </row>
    <row r="12" spans="1:8" s="1179" customFormat="1" ht="15.75" customHeight="1">
      <c r="A12" s="1179" t="s">
        <v>1574</v>
      </c>
    </row>
    <row r="13" spans="1:8" ht="31.15" customHeight="1"/>
    <row r="14" spans="1:8" ht="31.15" customHeight="1">
      <c r="A14" s="1967" t="s">
        <v>1575</v>
      </c>
      <c r="B14" s="1967"/>
      <c r="C14" s="1180">
        <v>2015</v>
      </c>
      <c r="D14" s="1181">
        <v>2016</v>
      </c>
      <c r="E14" s="1181">
        <v>2017</v>
      </c>
      <c r="F14" s="1181">
        <v>2018</v>
      </c>
    </row>
    <row r="15" spans="1:8" ht="15.75">
      <c r="A15" s="1956" t="s">
        <v>1576</v>
      </c>
      <c r="B15" s="1956"/>
      <c r="C15" s="1180">
        <v>172</v>
      </c>
      <c r="D15" s="1181">
        <v>149</v>
      </c>
      <c r="E15" s="1181">
        <v>147</v>
      </c>
      <c r="F15" s="1181">
        <f>ROUND((C15+D15+E15)/3,0)</f>
        <v>156</v>
      </c>
      <c r="G15" s="1182"/>
    </row>
    <row r="16" spans="1:8" ht="15.75">
      <c r="A16" s="1962" t="s">
        <v>1577</v>
      </c>
      <c r="B16" s="1952"/>
      <c r="C16" s="1963" t="s">
        <v>756</v>
      </c>
      <c r="D16" s="1963"/>
      <c r="E16" s="1959">
        <f>ROUND((6*8+8*4)/12,0)</f>
        <v>7</v>
      </c>
      <c r="F16" s="1183"/>
      <c r="G16" s="1959"/>
      <c r="H16" s="1959"/>
    </row>
    <row r="17" spans="1:8" ht="16.5" customHeight="1">
      <c r="A17" s="1184"/>
      <c r="B17" s="1185"/>
      <c r="C17" s="1961" t="s">
        <v>1578</v>
      </c>
      <c r="D17" s="1961"/>
      <c r="E17" s="1960"/>
      <c r="F17" s="1183"/>
      <c r="G17" s="1960"/>
      <c r="H17" s="1960"/>
    </row>
    <row r="18" spans="1:8" ht="25.5" customHeight="1">
      <c r="A18" s="1184"/>
      <c r="B18" s="1185"/>
      <c r="C18" s="1964" t="s">
        <v>1775</v>
      </c>
      <c r="D18" s="1964"/>
      <c r="E18" s="1964"/>
      <c r="F18" s="1965"/>
    </row>
    <row r="19" spans="1:8" ht="15.75">
      <c r="A19" s="1184"/>
      <c r="B19" s="1185"/>
      <c r="C19" s="1964" t="s">
        <v>1776</v>
      </c>
      <c r="D19" s="1964"/>
      <c r="E19" s="1964"/>
      <c r="F19" s="1965"/>
      <c r="G19" s="1146"/>
    </row>
    <row r="20" spans="1:8" s="1186" customFormat="1" ht="15.75">
      <c r="A20" s="1948" t="s">
        <v>757</v>
      </c>
      <c r="B20" s="1949"/>
      <c r="C20" s="1949"/>
      <c r="D20" s="1949"/>
      <c r="E20" s="1949"/>
      <c r="F20" s="1950"/>
      <c r="G20" s="1146"/>
    </row>
    <row r="21" spans="1:8" ht="31.5" hidden="1" customHeight="1">
      <c r="A21" s="1951" t="s">
        <v>1762</v>
      </c>
      <c r="B21" s="1952"/>
      <c r="C21" s="1952"/>
      <c r="D21" s="1949"/>
      <c r="E21" s="1949"/>
      <c r="F21" s="1950"/>
      <c r="G21" s="1146"/>
    </row>
    <row r="22" spans="1:8" s="1186" customFormat="1" ht="15.75" hidden="1">
      <c r="A22" s="1948" t="s">
        <v>1763</v>
      </c>
      <c r="B22" s="1949"/>
      <c r="C22" s="1949"/>
      <c r="D22" s="1949"/>
      <c r="E22" s="1949"/>
      <c r="F22" s="1950"/>
      <c r="G22" s="1146"/>
    </row>
    <row r="23" spans="1:8" ht="18" hidden="1" customHeight="1">
      <c r="A23" s="1951" t="s">
        <v>1764</v>
      </c>
      <c r="B23" s="1952"/>
      <c r="C23" s="1952"/>
      <c r="D23" s="1952"/>
      <c r="E23" s="1952"/>
      <c r="F23" s="1953"/>
      <c r="G23" s="1146"/>
    </row>
    <row r="24" spans="1:8" s="1186" customFormat="1" ht="20.25" hidden="1" customHeight="1">
      <c r="A24" s="1955" t="s">
        <v>1765</v>
      </c>
      <c r="B24" s="1956"/>
      <c r="C24" s="1956"/>
      <c r="D24" s="1956"/>
      <c r="E24" s="1956"/>
      <c r="F24" s="1956"/>
      <c r="G24" s="1146"/>
    </row>
    <row r="25" spans="1:8" s="1186" customFormat="1" ht="15.75">
      <c r="A25" s="1187"/>
      <c r="B25" s="1188"/>
      <c r="C25" s="1188"/>
      <c r="D25" s="1188"/>
      <c r="E25" s="1188"/>
      <c r="F25" s="1188"/>
      <c r="G25" s="1146"/>
    </row>
    <row r="26" spans="1:8" s="1186" customFormat="1" ht="78" customHeight="1">
      <c r="A26" s="1189" t="s">
        <v>1766</v>
      </c>
      <c r="B26" s="1189" t="s">
        <v>1579</v>
      </c>
      <c r="C26" s="1189" t="s">
        <v>1767</v>
      </c>
      <c r="D26" s="1190" t="s">
        <v>1580</v>
      </c>
      <c r="E26" s="1191"/>
    </row>
    <row r="27" spans="1:8" s="1195" customFormat="1" ht="15" customHeight="1">
      <c r="A27" s="1192" t="s">
        <v>1581</v>
      </c>
      <c r="B27" s="1192" t="s">
        <v>1270</v>
      </c>
      <c r="C27" s="1192" t="s">
        <v>1271</v>
      </c>
      <c r="D27" s="1193" t="s">
        <v>1272</v>
      </c>
      <c r="E27" s="1194"/>
    </row>
    <row r="28" spans="1:8" ht="15.75">
      <c r="A28" s="307">
        <f>B28-C28-D28</f>
        <v>1092</v>
      </c>
      <c r="B28" s="1196">
        <f>7*156</f>
        <v>1092</v>
      </c>
      <c r="C28" s="1197"/>
      <c r="D28" s="1198"/>
      <c r="E28" s="1185"/>
    </row>
    <row r="29" spans="1:8" s="1200" customFormat="1" ht="15.75">
      <c r="A29" s="1188"/>
      <c r="B29" s="1188"/>
      <c r="C29" s="1185"/>
      <c r="D29" s="1199"/>
      <c r="E29" s="1185"/>
      <c r="F29" s="1185"/>
    </row>
    <row r="30" spans="1:8" s="1186" customFormat="1" ht="126">
      <c r="A30" s="1189" t="s">
        <v>1768</v>
      </c>
      <c r="B30" s="1189" t="s">
        <v>1582</v>
      </c>
      <c r="C30" s="1189" t="s">
        <v>1769</v>
      </c>
      <c r="D30" s="1190" t="s">
        <v>1580</v>
      </c>
      <c r="E30" s="1171"/>
      <c r="F30" s="1201"/>
    </row>
    <row r="31" spans="1:8" s="1195" customFormat="1" ht="15" customHeight="1">
      <c r="A31" s="1192" t="s">
        <v>1581</v>
      </c>
      <c r="B31" s="1192" t="s">
        <v>1270</v>
      </c>
      <c r="C31" s="1192" t="s">
        <v>1271</v>
      </c>
      <c r="D31" s="1192" t="s">
        <v>1272</v>
      </c>
      <c r="E31" s="1957"/>
      <c r="F31" s="1957"/>
    </row>
    <row r="32" spans="1:8" ht="15.75">
      <c r="A32" s="307">
        <f>B32-C32-D32</f>
        <v>0</v>
      </c>
      <c r="B32" s="1196"/>
      <c r="C32" s="1196"/>
      <c r="D32" s="1196"/>
      <c r="E32" s="1175"/>
      <c r="F32" s="1200"/>
    </row>
    <row r="33" spans="1:7" ht="36.75" customHeight="1">
      <c r="A33" s="1202"/>
      <c r="B33" s="1188"/>
      <c r="C33" s="1188"/>
      <c r="D33" s="1188"/>
      <c r="E33" s="1188"/>
      <c r="F33" s="1188"/>
      <c r="G33" s="1146"/>
    </row>
    <row r="34" spans="1:7" ht="63">
      <c r="A34" s="1147" t="s">
        <v>218</v>
      </c>
      <c r="B34" s="1147" t="s">
        <v>1777</v>
      </c>
      <c r="C34" s="1147" t="s">
        <v>1778</v>
      </c>
      <c r="D34" s="1147" t="s">
        <v>1779</v>
      </c>
      <c r="E34" s="1147" t="s">
        <v>1780</v>
      </c>
      <c r="F34" s="1147" t="s">
        <v>1583</v>
      </c>
      <c r="G34" s="1186"/>
    </row>
    <row r="35" spans="1:7" ht="24" customHeight="1">
      <c r="A35" s="1203" t="s">
        <v>1584</v>
      </c>
      <c r="B35" s="1204">
        <f>E16</f>
        <v>7</v>
      </c>
      <c r="C35" s="1181">
        <f>ROUND(E35/B35,0)</f>
        <v>156</v>
      </c>
      <c r="D35" s="1205">
        <v>137.96</v>
      </c>
      <c r="E35" s="1196">
        <f>A28</f>
        <v>1092</v>
      </c>
      <c r="F35" s="1206">
        <f>ROUND(D35*E35,2)</f>
        <v>150652.32</v>
      </c>
    </row>
    <row r="36" spans="1:7" ht="47.25">
      <c r="A36" s="1203" t="s">
        <v>1585</v>
      </c>
      <c r="B36" s="1181"/>
      <c r="C36" s="1181" t="e">
        <f>ROUND(E36/B36,0)</f>
        <v>#DIV/0!</v>
      </c>
      <c r="D36" s="1205">
        <f>ROUND(D35*0.1,2)</f>
        <v>13.8</v>
      </c>
      <c r="E36" s="1196">
        <f>A32</f>
        <v>0</v>
      </c>
      <c r="F36" s="1206">
        <f>ROUND(D36*E36,2)</f>
        <v>0</v>
      </c>
    </row>
    <row r="37" spans="1:7" ht="15.75">
      <c r="A37" s="1207" t="s">
        <v>1527</v>
      </c>
      <c r="B37" s="1181"/>
      <c r="C37" s="1181"/>
      <c r="D37" s="1181"/>
      <c r="E37" s="1181"/>
      <c r="F37" s="1208">
        <f>F35+F36</f>
        <v>150652.32</v>
      </c>
    </row>
    <row r="38" spans="1:7" ht="15.75">
      <c r="A38" s="1958"/>
      <c r="B38" s="1958"/>
      <c r="C38" s="1958"/>
      <c r="D38" s="1176"/>
      <c r="E38" s="1176"/>
      <c r="F38" s="1176"/>
    </row>
    <row r="39" spans="1:7" ht="41.25" customHeight="1">
      <c r="A39" s="1209" t="s">
        <v>1039</v>
      </c>
      <c r="B39" s="1210"/>
      <c r="C39" s="1176"/>
      <c r="D39" s="1176" t="s">
        <v>1770</v>
      </c>
      <c r="E39" s="1176"/>
      <c r="F39" s="1211" t="s">
        <v>1040</v>
      </c>
    </row>
    <row r="40" spans="1:7" ht="10.5" customHeight="1">
      <c r="B40" s="1210"/>
      <c r="C40" s="1176"/>
      <c r="D40" s="1954"/>
      <c r="E40" s="1954"/>
      <c r="F40" s="1212" t="s">
        <v>1847</v>
      </c>
    </row>
    <row r="41" spans="1:7" ht="38.25" customHeight="1">
      <c r="A41" s="1209" t="s">
        <v>1771</v>
      </c>
      <c r="B41" s="1176"/>
      <c r="C41" s="1176"/>
      <c r="D41" s="1213" t="s">
        <v>1770</v>
      </c>
      <c r="E41" s="1213"/>
      <c r="F41" s="1211" t="s">
        <v>1245</v>
      </c>
    </row>
    <row r="42" spans="1:7" ht="9.75" customHeight="1">
      <c r="A42" s="1182"/>
      <c r="B42" s="1176"/>
      <c r="C42" s="1176"/>
      <c r="D42" s="1954"/>
      <c r="E42" s="1954"/>
      <c r="F42" s="1212" t="s">
        <v>1847</v>
      </c>
    </row>
    <row r="43" spans="1:7" ht="15.75">
      <c r="A43" s="1176"/>
      <c r="B43" s="1176"/>
      <c r="C43" s="1176"/>
      <c r="D43" s="1176"/>
      <c r="E43" s="1176"/>
      <c r="F43" s="1176"/>
    </row>
    <row r="44" spans="1:7" ht="15.75">
      <c r="A44" s="1176"/>
      <c r="B44" s="1176"/>
      <c r="C44" s="1176"/>
      <c r="D44" s="1176"/>
      <c r="E44" s="1176"/>
      <c r="F44" s="1176"/>
    </row>
    <row r="45" spans="1:7" ht="15.75">
      <c r="A45" s="1176"/>
      <c r="B45" s="1176"/>
      <c r="C45" s="1176"/>
      <c r="D45" s="1176"/>
      <c r="E45" s="1176"/>
      <c r="F45" s="1176"/>
    </row>
    <row r="46" spans="1:7" ht="15.75">
      <c r="A46" s="1176"/>
      <c r="B46" s="1176"/>
      <c r="C46" s="1176"/>
      <c r="D46" s="1176"/>
      <c r="E46" s="1176"/>
      <c r="F46" s="1176"/>
    </row>
    <row r="47" spans="1:7" ht="15.75">
      <c r="A47" s="1176"/>
      <c r="B47" s="1176"/>
      <c r="C47" s="1176"/>
      <c r="D47" s="1176"/>
      <c r="E47" s="1176"/>
      <c r="F47" s="1176"/>
    </row>
    <row r="48" spans="1:7" ht="15.75">
      <c r="A48" s="1176"/>
      <c r="B48" s="1176"/>
      <c r="C48" s="1176"/>
      <c r="D48" s="1176"/>
      <c r="E48" s="1176"/>
      <c r="F48" s="1176"/>
    </row>
    <row r="49" spans="1:6" ht="15.75">
      <c r="A49" s="1176"/>
      <c r="B49" s="1176"/>
      <c r="C49" s="1176"/>
      <c r="D49" s="1176"/>
      <c r="E49" s="1176"/>
      <c r="F49" s="1176"/>
    </row>
  </sheetData>
  <mergeCells count="22">
    <mergeCell ref="C18:F18"/>
    <mergeCell ref="C19:F19"/>
    <mergeCell ref="A3:F3"/>
    <mergeCell ref="A4:F4"/>
    <mergeCell ref="A14:B14"/>
    <mergeCell ref="A15:B15"/>
    <mergeCell ref="C5:D5"/>
    <mergeCell ref="H16:H17"/>
    <mergeCell ref="C17:D17"/>
    <mergeCell ref="G16:G17"/>
    <mergeCell ref="A16:B16"/>
    <mergeCell ref="C16:D16"/>
    <mergeCell ref="E16:E17"/>
    <mergeCell ref="A20:F20"/>
    <mergeCell ref="A23:F23"/>
    <mergeCell ref="D42:E42"/>
    <mergeCell ref="A24:F24"/>
    <mergeCell ref="E31:F31"/>
    <mergeCell ref="A38:C38"/>
    <mergeCell ref="D40:E40"/>
    <mergeCell ref="A21:F21"/>
    <mergeCell ref="A22:F22"/>
  </mergeCells>
  <phoneticPr fontId="116" type="noConversion"/>
  <pageMargins left="0.31" right="0.31" top="0.31" bottom="0.17" header="0.5" footer="0.17"/>
  <pageSetup paperSize="9" scale="84" orientation="portrait" r:id="rId1"/>
  <headerFooter alignWithMargins="0"/>
</worksheet>
</file>

<file path=xl/worksheets/sheet49.xml><?xml version="1.0" encoding="utf-8"?>
<worksheet xmlns="http://schemas.openxmlformats.org/spreadsheetml/2006/main" xmlns:r="http://schemas.openxmlformats.org/officeDocument/2006/relationships">
  <sheetPr>
    <tabColor rgb="FF00B050"/>
    <pageSetUpPr fitToPage="1"/>
  </sheetPr>
  <dimension ref="A1:H49"/>
  <sheetViews>
    <sheetView view="pageBreakPreview" topLeftCell="A19" zoomScale="93" zoomScaleNormal="100" zoomScaleSheetLayoutView="93" workbookViewId="0">
      <selection activeCell="D13" sqref="D13"/>
    </sheetView>
  </sheetViews>
  <sheetFormatPr defaultColWidth="8.85546875" defaultRowHeight="12.75"/>
  <cols>
    <col min="1" max="1" width="18.7109375" style="1178" customWidth="1"/>
    <col min="2" max="2" width="16" style="1178" customWidth="1"/>
    <col min="3" max="3" width="22.140625" style="1178" customWidth="1"/>
    <col min="4" max="4" width="23.140625" style="1178" customWidth="1"/>
    <col min="5" max="5" width="18.42578125" style="1178" customWidth="1"/>
    <col min="6" max="6" width="17.7109375" style="1178" customWidth="1"/>
    <col min="7" max="7" width="14.42578125" style="1178" customWidth="1"/>
    <col min="8" max="16384" width="8.85546875" style="1178"/>
  </cols>
  <sheetData>
    <row r="1" spans="1:8" s="28" customFormat="1" ht="15.75">
      <c r="F1" s="209" t="s">
        <v>967</v>
      </c>
    </row>
    <row r="2" spans="1:8" s="28" customFormat="1" ht="15">
      <c r="A2" s="30"/>
      <c r="B2" s="30"/>
      <c r="C2" s="30"/>
      <c r="D2" s="30"/>
      <c r="E2" s="30"/>
      <c r="F2" s="30"/>
      <c r="G2" s="32"/>
    </row>
    <row r="3" spans="1:8" s="28" customFormat="1" ht="17.25" customHeight="1">
      <c r="A3" s="1809" t="s">
        <v>1725</v>
      </c>
      <c r="B3" s="1809"/>
      <c r="C3" s="1809"/>
      <c r="D3" s="1809"/>
      <c r="E3" s="1809"/>
      <c r="F3" s="1809"/>
    </row>
    <row r="4" spans="1:8" s="1176" customFormat="1" ht="17.25" customHeight="1">
      <c r="A4" s="1966" t="s">
        <v>1772</v>
      </c>
      <c r="B4" s="1966"/>
      <c r="C4" s="1966"/>
      <c r="D4" s="1966"/>
      <c r="E4" s="1966"/>
      <c r="F4" s="1966"/>
    </row>
    <row r="5" spans="1:8" s="1176" customFormat="1" ht="17.25" customHeight="1">
      <c r="A5" s="1177"/>
      <c r="B5" s="1177"/>
      <c r="C5" s="1966" t="s">
        <v>749</v>
      </c>
      <c r="D5" s="1966"/>
      <c r="E5" s="1177"/>
      <c r="F5" s="1177"/>
    </row>
    <row r="6" spans="1:8" ht="15.75">
      <c r="A6" s="1146" t="s">
        <v>1568</v>
      </c>
      <c r="B6" s="1146"/>
      <c r="C6" s="1146"/>
      <c r="D6" s="1146"/>
      <c r="E6" s="1146"/>
      <c r="F6" s="1146"/>
    </row>
    <row r="7" spans="1:8" s="1179" customFormat="1" ht="15.75" customHeight="1">
      <c r="A7" s="1179" t="s">
        <v>1569</v>
      </c>
    </row>
    <row r="8" spans="1:8" s="1179" customFormat="1" ht="15.75" customHeight="1">
      <c r="A8" s="1179" t="s">
        <v>1570</v>
      </c>
    </row>
    <row r="9" spans="1:8" s="1179" customFormat="1" ht="15.75" customHeight="1">
      <c r="A9" s="1179" t="s">
        <v>1571</v>
      </c>
    </row>
    <row r="10" spans="1:8" s="1179" customFormat="1" ht="15.75" customHeight="1">
      <c r="A10" s="1179" t="s">
        <v>1572</v>
      </c>
    </row>
    <row r="11" spans="1:8" s="1179" customFormat="1" ht="15.75" customHeight="1">
      <c r="A11" s="1179" t="s">
        <v>1573</v>
      </c>
    </row>
    <row r="12" spans="1:8" s="1179" customFormat="1" ht="15.75" customHeight="1">
      <c r="A12" s="1179" t="s">
        <v>1574</v>
      </c>
    </row>
    <row r="13" spans="1:8" ht="31.15" customHeight="1"/>
    <row r="14" spans="1:8" ht="31.15" customHeight="1">
      <c r="A14" s="1967" t="s">
        <v>1575</v>
      </c>
      <c r="B14" s="1967"/>
      <c r="C14" s="1180">
        <v>2015</v>
      </c>
      <c r="D14" s="1181">
        <v>2016</v>
      </c>
      <c r="E14" s="1181">
        <v>2017</v>
      </c>
      <c r="F14" s="1181">
        <v>2018</v>
      </c>
    </row>
    <row r="15" spans="1:8" ht="15.75">
      <c r="A15" s="1956" t="s">
        <v>1576</v>
      </c>
      <c r="B15" s="1956"/>
      <c r="C15" s="1180">
        <v>172</v>
      </c>
      <c r="D15" s="1181">
        <v>149</v>
      </c>
      <c r="E15" s="1181">
        <v>147</v>
      </c>
      <c r="F15" s="1181">
        <f>ROUND((C15+D15+E15)/3,0)</f>
        <v>156</v>
      </c>
      <c r="G15" s="1182"/>
    </row>
    <row r="16" spans="1:8" ht="15.75">
      <c r="A16" s="1962" t="s">
        <v>1577</v>
      </c>
      <c r="B16" s="1952"/>
      <c r="C16" s="1963" t="s">
        <v>758</v>
      </c>
      <c r="D16" s="1963"/>
      <c r="E16" s="1959">
        <f>ROUND((31*8+30*4)/12,0)</f>
        <v>31</v>
      </c>
      <c r="F16" s="1183"/>
      <c r="G16" s="1959"/>
      <c r="H16" s="1959"/>
    </row>
    <row r="17" spans="1:8" ht="16.5" customHeight="1">
      <c r="A17" s="1184"/>
      <c r="B17" s="1185"/>
      <c r="C17" s="1961" t="s">
        <v>1578</v>
      </c>
      <c r="D17" s="1961"/>
      <c r="E17" s="1960"/>
      <c r="F17" s="1183"/>
      <c r="G17" s="1960"/>
      <c r="H17" s="1960"/>
    </row>
    <row r="18" spans="1:8" ht="25.5" customHeight="1">
      <c r="A18" s="1184"/>
      <c r="B18" s="1185"/>
      <c r="C18" s="1964" t="s">
        <v>1775</v>
      </c>
      <c r="D18" s="1964"/>
      <c r="E18" s="1964"/>
      <c r="F18" s="1965"/>
    </row>
    <row r="19" spans="1:8" ht="15.75">
      <c r="A19" s="1184"/>
      <c r="B19" s="1185"/>
      <c r="C19" s="1964" t="s">
        <v>1776</v>
      </c>
      <c r="D19" s="1964"/>
      <c r="E19" s="1964"/>
      <c r="F19" s="1965"/>
      <c r="G19" s="1146"/>
    </row>
    <row r="20" spans="1:8" s="1186" customFormat="1" ht="15.75">
      <c r="A20" s="1948" t="s">
        <v>759</v>
      </c>
      <c r="B20" s="1949"/>
      <c r="C20" s="1949"/>
      <c r="D20" s="1949"/>
      <c r="E20" s="1949"/>
      <c r="F20" s="1950"/>
      <c r="G20" s="1146"/>
    </row>
    <row r="21" spans="1:8" ht="31.5" hidden="1" customHeight="1">
      <c r="A21" s="1951" t="s">
        <v>1762</v>
      </c>
      <c r="B21" s="1952"/>
      <c r="C21" s="1952"/>
      <c r="D21" s="1949"/>
      <c r="E21" s="1949"/>
      <c r="F21" s="1950"/>
      <c r="G21" s="1146"/>
    </row>
    <row r="22" spans="1:8" s="1186" customFormat="1" ht="15.75" hidden="1">
      <c r="A22" s="1948" t="s">
        <v>1763</v>
      </c>
      <c r="B22" s="1949"/>
      <c r="C22" s="1949"/>
      <c r="D22" s="1949"/>
      <c r="E22" s="1949"/>
      <c r="F22" s="1950"/>
      <c r="G22" s="1146"/>
    </row>
    <row r="23" spans="1:8" ht="18" hidden="1" customHeight="1">
      <c r="A23" s="1951" t="s">
        <v>1764</v>
      </c>
      <c r="B23" s="1952"/>
      <c r="C23" s="1952"/>
      <c r="D23" s="1952"/>
      <c r="E23" s="1952"/>
      <c r="F23" s="1953"/>
      <c r="G23" s="1146"/>
    </row>
    <row r="24" spans="1:8" s="1186" customFormat="1" ht="20.25" hidden="1" customHeight="1">
      <c r="A24" s="1955" t="s">
        <v>1765</v>
      </c>
      <c r="B24" s="1956"/>
      <c r="C24" s="1956"/>
      <c r="D24" s="1956"/>
      <c r="E24" s="1956"/>
      <c r="F24" s="1956"/>
      <c r="G24" s="1146"/>
    </row>
    <row r="25" spans="1:8" s="1186" customFormat="1" ht="15.75">
      <c r="A25" s="1187"/>
      <c r="B25" s="1188"/>
      <c r="C25" s="1188"/>
      <c r="D25" s="1188"/>
      <c r="E25" s="1188"/>
      <c r="F25" s="1188"/>
      <c r="G25" s="1146"/>
    </row>
    <row r="26" spans="1:8" s="1186" customFormat="1" ht="78" customHeight="1">
      <c r="A26" s="1189" t="s">
        <v>1766</v>
      </c>
      <c r="B26" s="1189" t="s">
        <v>1579</v>
      </c>
      <c r="C26" s="1189" t="s">
        <v>1767</v>
      </c>
      <c r="D26" s="1190" t="s">
        <v>1580</v>
      </c>
      <c r="E26" s="1191"/>
    </row>
    <row r="27" spans="1:8" s="1195" customFormat="1" ht="15" customHeight="1">
      <c r="A27" s="1192" t="s">
        <v>1581</v>
      </c>
      <c r="B27" s="1192" t="s">
        <v>1270</v>
      </c>
      <c r="C27" s="1192" t="s">
        <v>1271</v>
      </c>
      <c r="D27" s="1193" t="s">
        <v>1272</v>
      </c>
      <c r="E27" s="1194"/>
    </row>
    <row r="28" spans="1:8" ht="15.75">
      <c r="A28" s="307">
        <f>B28-C28-D28</f>
        <v>4836</v>
      </c>
      <c r="B28" s="1196">
        <f>31*156</f>
        <v>4836</v>
      </c>
      <c r="C28" s="1197"/>
      <c r="D28" s="1198"/>
      <c r="E28" s="1185"/>
    </row>
    <row r="29" spans="1:8" s="1200" customFormat="1" ht="15.75">
      <c r="A29" s="1188"/>
      <c r="B29" s="1188"/>
      <c r="C29" s="1185"/>
      <c r="D29" s="1199"/>
      <c r="E29" s="1185"/>
      <c r="F29" s="1185"/>
    </row>
    <row r="30" spans="1:8" s="1186" customFormat="1" ht="126">
      <c r="A30" s="1189" t="s">
        <v>1768</v>
      </c>
      <c r="B30" s="1189" t="s">
        <v>1582</v>
      </c>
      <c r="C30" s="1189" t="s">
        <v>1769</v>
      </c>
      <c r="D30" s="1190" t="s">
        <v>1580</v>
      </c>
      <c r="E30" s="1171"/>
      <c r="F30" s="1201"/>
    </row>
    <row r="31" spans="1:8" s="1195" customFormat="1" ht="15" customHeight="1">
      <c r="A31" s="1192" t="s">
        <v>1581</v>
      </c>
      <c r="B31" s="1192" t="s">
        <v>1270</v>
      </c>
      <c r="C31" s="1192" t="s">
        <v>1271</v>
      </c>
      <c r="D31" s="1192" t="s">
        <v>1272</v>
      </c>
      <c r="E31" s="1957"/>
      <c r="F31" s="1957"/>
    </row>
    <row r="32" spans="1:8" ht="15.75">
      <c r="A32" s="307">
        <f>B32-C32-D32</f>
        <v>0</v>
      </c>
      <c r="B32" s="1196"/>
      <c r="C32" s="1196"/>
      <c r="D32" s="1196"/>
      <c r="E32" s="1175"/>
      <c r="F32" s="1200"/>
    </row>
    <row r="33" spans="1:7" ht="36.75" customHeight="1">
      <c r="A33" s="1202"/>
      <c r="B33" s="1188"/>
      <c r="C33" s="1188"/>
      <c r="D33" s="1188"/>
      <c r="E33" s="1188"/>
      <c r="F33" s="1188"/>
      <c r="G33" s="1146"/>
    </row>
    <row r="34" spans="1:7" ht="63">
      <c r="A34" s="1147" t="s">
        <v>218</v>
      </c>
      <c r="B34" s="1147" t="s">
        <v>1777</v>
      </c>
      <c r="C34" s="1147" t="s">
        <v>1778</v>
      </c>
      <c r="D34" s="1147" t="s">
        <v>1779</v>
      </c>
      <c r="E34" s="1147" t="s">
        <v>1780</v>
      </c>
      <c r="F34" s="1147" t="s">
        <v>1583</v>
      </c>
      <c r="G34" s="1186"/>
    </row>
    <row r="35" spans="1:7" ht="24" customHeight="1">
      <c r="A35" s="1203" t="s">
        <v>1584</v>
      </c>
      <c r="B35" s="1204">
        <f>E16</f>
        <v>31</v>
      </c>
      <c r="C35" s="1181">
        <f>ROUND(E35/B35,0)</f>
        <v>156</v>
      </c>
      <c r="D35" s="1205">
        <v>158.33000000000001</v>
      </c>
      <c r="E35" s="1196">
        <f>A28</f>
        <v>4836</v>
      </c>
      <c r="F35" s="1206">
        <f>ROUND(D35*E35,2)</f>
        <v>765683.88</v>
      </c>
      <c r="G35" s="1214">
        <f ca="1">'[8]340 пит прих 2017(7-10)'!E36+'340 пит прих 2018(11-18)'!E35</f>
        <v>5424</v>
      </c>
    </row>
    <row r="36" spans="1:7" ht="47.25">
      <c r="A36" s="1203" t="s">
        <v>1585</v>
      </c>
      <c r="B36" s="1181"/>
      <c r="C36" s="1181" t="e">
        <f>ROUND(E36/B36,0)</f>
        <v>#DIV/0!</v>
      </c>
      <c r="D36" s="1205">
        <f>ROUND(D35*0.1,2)</f>
        <v>15.83</v>
      </c>
      <c r="E36" s="1196">
        <f>A32</f>
        <v>0</v>
      </c>
      <c r="F36" s="1206">
        <f>ROUND(D36*E36,2)</f>
        <v>0</v>
      </c>
    </row>
    <row r="37" spans="1:7" ht="15.75">
      <c r="A37" s="1207" t="s">
        <v>1527</v>
      </c>
      <c r="B37" s="1181"/>
      <c r="C37" s="1181"/>
      <c r="D37" s="1181"/>
      <c r="E37" s="1181"/>
      <c r="F37" s="1208">
        <f>F35+F36</f>
        <v>765683.88</v>
      </c>
      <c r="G37" s="1215">
        <f ca="1">'[8]340 пит прих 2017(7-10)'!F38+'340 пит прих 2018(11-18)'!F37</f>
        <v>835808.76</v>
      </c>
    </row>
    <row r="38" spans="1:7" ht="15.75">
      <c r="A38" s="1958"/>
      <c r="B38" s="1958"/>
      <c r="C38" s="1958"/>
      <c r="D38" s="1176"/>
      <c r="E38" s="1176"/>
      <c r="F38" s="1176"/>
    </row>
    <row r="39" spans="1:7" ht="41.25" customHeight="1">
      <c r="A39" s="1209" t="s">
        <v>1039</v>
      </c>
      <c r="B39" s="1210"/>
      <c r="C39" s="1176"/>
      <c r="D39" s="1176" t="s">
        <v>1770</v>
      </c>
      <c r="E39" s="1176"/>
      <c r="F39" s="1211" t="s">
        <v>1040</v>
      </c>
    </row>
    <row r="40" spans="1:7" ht="10.5" customHeight="1">
      <c r="B40" s="1210"/>
      <c r="C40" s="1176"/>
      <c r="D40" s="1954"/>
      <c r="E40" s="1954"/>
      <c r="F40" s="1212" t="s">
        <v>1847</v>
      </c>
    </row>
    <row r="41" spans="1:7" ht="38.25" customHeight="1">
      <c r="A41" s="1209" t="s">
        <v>1771</v>
      </c>
      <c r="B41" s="1176"/>
      <c r="C41" s="1176"/>
      <c r="D41" s="1213" t="s">
        <v>1770</v>
      </c>
      <c r="E41" s="1213"/>
      <c r="F41" s="1211" t="s">
        <v>1245</v>
      </c>
    </row>
    <row r="42" spans="1:7" ht="9.75" customHeight="1">
      <c r="A42" s="1182"/>
      <c r="B42" s="1176"/>
      <c r="C42" s="1176"/>
      <c r="D42" s="1954"/>
      <c r="E42" s="1954"/>
      <c r="F42" s="1212" t="s">
        <v>1847</v>
      </c>
    </row>
    <row r="43" spans="1:7" ht="15.75">
      <c r="A43" s="1176"/>
      <c r="B43" s="1176"/>
      <c r="C43" s="1176"/>
      <c r="D43" s="1176"/>
      <c r="E43" s="1176"/>
      <c r="F43" s="1176"/>
    </row>
    <row r="44" spans="1:7" ht="15.75">
      <c r="A44" s="1176"/>
      <c r="B44" s="1176"/>
      <c r="C44" s="1176"/>
      <c r="D44" s="1176"/>
      <c r="E44" s="1176"/>
      <c r="F44" s="1176"/>
    </row>
    <row r="45" spans="1:7" ht="15.75">
      <c r="A45" s="1176"/>
      <c r="B45" s="1176"/>
      <c r="C45" s="1176"/>
      <c r="D45" s="1176"/>
      <c r="E45" s="1176"/>
      <c r="F45" s="1176"/>
    </row>
    <row r="46" spans="1:7" ht="15.75">
      <c r="A46" s="1176"/>
      <c r="B46" s="1176"/>
      <c r="C46" s="1176"/>
      <c r="D46" s="1176"/>
      <c r="E46" s="1176"/>
      <c r="F46" s="1176"/>
    </row>
    <row r="47" spans="1:7" ht="15.75">
      <c r="A47" s="1176"/>
      <c r="B47" s="1176"/>
      <c r="C47" s="1176"/>
      <c r="D47" s="1176"/>
      <c r="E47" s="1176"/>
      <c r="F47" s="1176"/>
    </row>
    <row r="48" spans="1:7" ht="15.75">
      <c r="A48" s="1176"/>
      <c r="B48" s="1176"/>
      <c r="C48" s="1176"/>
      <c r="D48" s="1176"/>
      <c r="E48" s="1176"/>
      <c r="F48" s="1176"/>
    </row>
    <row r="49" spans="1:6" ht="15.75">
      <c r="A49" s="1176"/>
      <c r="B49" s="1176"/>
      <c r="C49" s="1176"/>
      <c r="D49" s="1176"/>
      <c r="E49" s="1176"/>
      <c r="F49" s="1176"/>
    </row>
  </sheetData>
  <mergeCells count="22">
    <mergeCell ref="C18:F18"/>
    <mergeCell ref="C19:F19"/>
    <mergeCell ref="A3:F3"/>
    <mergeCell ref="A4:F4"/>
    <mergeCell ref="A14:B14"/>
    <mergeCell ref="A15:B15"/>
    <mergeCell ref="C5:D5"/>
    <mergeCell ref="H16:H17"/>
    <mergeCell ref="C17:D17"/>
    <mergeCell ref="G16:G17"/>
    <mergeCell ref="A16:B16"/>
    <mergeCell ref="C16:D16"/>
    <mergeCell ref="E16:E17"/>
    <mergeCell ref="A20:F20"/>
    <mergeCell ref="A23:F23"/>
    <mergeCell ref="D42:E42"/>
    <mergeCell ref="A24:F24"/>
    <mergeCell ref="E31:F31"/>
    <mergeCell ref="A38:C38"/>
    <mergeCell ref="D40:E40"/>
    <mergeCell ref="A21:F21"/>
    <mergeCell ref="A22:F22"/>
  </mergeCells>
  <phoneticPr fontId="116" type="noConversion"/>
  <pageMargins left="0.31" right="0.31" top="0.31" bottom="0.17" header="0.5" footer="0.17"/>
  <pageSetup paperSize="9" scale="84" orientation="portrait" r:id="rId1"/>
  <headerFooter alignWithMargins="0"/>
</worksheet>
</file>

<file path=xl/worksheets/sheet5.xml><?xml version="1.0" encoding="utf-8"?>
<worksheet xmlns="http://schemas.openxmlformats.org/spreadsheetml/2006/main" xmlns:r="http://schemas.openxmlformats.org/officeDocument/2006/relationships">
  <sheetPr codeName="Лист55">
    <tabColor rgb="FF00FF00"/>
  </sheetPr>
  <dimension ref="A1:L514"/>
  <sheetViews>
    <sheetView view="pageBreakPreview" zoomScale="75" zoomScaleNormal="100" zoomScaleSheetLayoutView="75" workbookViewId="0">
      <selection activeCell="A11" sqref="A11:J11"/>
    </sheetView>
  </sheetViews>
  <sheetFormatPr defaultRowHeight="18"/>
  <cols>
    <col min="1" max="16384" width="9.140625" style="172"/>
  </cols>
  <sheetData>
    <row r="1" spans="1:12" ht="47.25" customHeight="1">
      <c r="A1" s="1475" t="s">
        <v>697</v>
      </c>
      <c r="B1" s="1475"/>
      <c r="C1" s="1475"/>
      <c r="D1" s="1475"/>
      <c r="E1" s="1475"/>
      <c r="F1" s="1475"/>
      <c r="G1" s="1475"/>
      <c r="H1" s="1475"/>
      <c r="I1" s="1475"/>
      <c r="J1" s="1475"/>
      <c r="K1" s="121"/>
      <c r="L1" s="121"/>
    </row>
    <row r="2" spans="1:12" ht="18.75">
      <c r="A2" s="121"/>
      <c r="B2" s="121"/>
      <c r="C2" s="149"/>
      <c r="D2" s="149"/>
      <c r="E2" s="149"/>
      <c r="F2" s="142"/>
      <c r="G2" s="149"/>
      <c r="H2" s="149"/>
      <c r="I2" s="149"/>
      <c r="J2" s="123"/>
      <c r="K2" s="121"/>
      <c r="L2" s="121"/>
    </row>
    <row r="3" spans="1:12" ht="30" customHeight="1">
      <c r="A3" s="1484" t="s">
        <v>698</v>
      </c>
      <c r="B3" s="1484"/>
      <c r="C3" s="1484"/>
      <c r="D3" s="1484"/>
      <c r="E3" s="1484"/>
      <c r="F3" s="1484"/>
      <c r="G3" s="1484"/>
      <c r="H3" s="1484"/>
      <c r="I3" s="1484"/>
      <c r="J3" s="1484"/>
      <c r="K3" s="121"/>
      <c r="L3" s="121"/>
    </row>
    <row r="4" spans="1:12" ht="188.25" customHeight="1">
      <c r="A4" s="1463" t="s">
        <v>1050</v>
      </c>
      <c r="B4" s="1463"/>
      <c r="C4" s="1463"/>
      <c r="D4" s="1463"/>
      <c r="E4" s="1463"/>
      <c r="F4" s="1463"/>
      <c r="G4" s="1463"/>
      <c r="H4" s="1463"/>
      <c r="I4" s="1463"/>
      <c r="J4" s="1463"/>
      <c r="K4" s="121"/>
      <c r="L4" s="121"/>
    </row>
    <row r="5" spans="1:12" ht="30" customHeight="1">
      <c r="A5" s="1484" t="s">
        <v>699</v>
      </c>
      <c r="B5" s="1484"/>
      <c r="C5" s="1484"/>
      <c r="D5" s="1484"/>
      <c r="E5" s="1484"/>
      <c r="F5" s="1484"/>
      <c r="G5" s="1484"/>
      <c r="H5" s="1484"/>
      <c r="I5" s="1484"/>
      <c r="J5" s="1484"/>
      <c r="K5" s="121"/>
      <c r="L5" s="121"/>
    </row>
    <row r="6" spans="1:12" ht="9.4" customHeight="1">
      <c r="A6" s="1484"/>
      <c r="B6" s="1484"/>
      <c r="C6" s="1484"/>
      <c r="D6" s="1484"/>
      <c r="E6" s="1484"/>
      <c r="F6" s="1484"/>
      <c r="G6" s="1484"/>
      <c r="H6" s="1484"/>
      <c r="I6" s="1484"/>
      <c r="J6" s="1484"/>
      <c r="K6" s="121"/>
      <c r="L6" s="121"/>
    </row>
    <row r="7" spans="1:12" ht="101.25" customHeight="1">
      <c r="A7" s="1463" t="s">
        <v>1051</v>
      </c>
      <c r="B7" s="1463"/>
      <c r="C7" s="1463"/>
      <c r="D7" s="1463"/>
      <c r="E7" s="1463"/>
      <c r="F7" s="1463"/>
      <c r="G7" s="1463"/>
      <c r="H7" s="1463"/>
      <c r="I7" s="1463"/>
      <c r="J7" s="1463"/>
      <c r="K7" s="121"/>
      <c r="L7" s="121"/>
    </row>
    <row r="8" spans="1:12" ht="63.4" customHeight="1">
      <c r="A8" s="1484" t="s">
        <v>700</v>
      </c>
      <c r="B8" s="1484"/>
      <c r="C8" s="1484"/>
      <c r="D8" s="1484"/>
      <c r="E8" s="1484"/>
      <c r="F8" s="1484"/>
      <c r="G8" s="1484"/>
      <c r="H8" s="1484"/>
      <c r="I8" s="1484"/>
      <c r="J8" s="1484"/>
      <c r="K8" s="121"/>
      <c r="L8" s="121"/>
    </row>
    <row r="9" spans="1:12" ht="222.75" customHeight="1">
      <c r="A9" s="1463" t="s">
        <v>2063</v>
      </c>
      <c r="B9" s="1463"/>
      <c r="C9" s="1463"/>
      <c r="D9" s="1463"/>
      <c r="E9" s="1463"/>
      <c r="F9" s="1463"/>
      <c r="G9" s="1463"/>
      <c r="H9" s="1463"/>
      <c r="I9" s="1463"/>
      <c r="J9" s="1463"/>
      <c r="K9" s="121"/>
      <c r="L9" s="121"/>
    </row>
    <row r="10" spans="1:12" ht="32.25" customHeight="1">
      <c r="A10" s="1463"/>
      <c r="B10" s="1463"/>
      <c r="C10" s="1463"/>
      <c r="D10" s="1463"/>
      <c r="E10" s="1463"/>
      <c r="F10" s="1463"/>
      <c r="G10" s="1463"/>
      <c r="H10" s="1463"/>
      <c r="I10" s="1463"/>
      <c r="J10" s="1463"/>
      <c r="K10" s="121"/>
      <c r="L10" s="121"/>
    </row>
    <row r="11" spans="1:12" s="602" customFormat="1" ht="57.75" customHeight="1">
      <c r="A11" s="1472" t="s">
        <v>1247</v>
      </c>
      <c r="B11" s="1472"/>
      <c r="C11" s="1472"/>
      <c r="D11" s="1472"/>
      <c r="E11" s="1472"/>
      <c r="F11" s="1472"/>
      <c r="G11" s="1472"/>
      <c r="H11" s="1472"/>
      <c r="I11" s="1472"/>
      <c r="J11" s="1472"/>
      <c r="K11" s="601"/>
      <c r="L11" s="601"/>
    </row>
    <row r="12" spans="1:12" s="602" customFormat="1" ht="31.15" customHeight="1">
      <c r="A12" s="624"/>
      <c r="B12" s="624"/>
      <c r="C12" s="624"/>
      <c r="D12" s="624"/>
      <c r="E12" s="624"/>
      <c r="F12" s="624"/>
      <c r="G12" s="624"/>
      <c r="H12" s="624"/>
      <c r="I12" s="624"/>
      <c r="J12" s="624"/>
      <c r="K12" s="601"/>
      <c r="L12" s="601"/>
    </row>
    <row r="13" spans="1:12" s="602" customFormat="1" ht="82.5" customHeight="1">
      <c r="A13" s="1472" t="s">
        <v>1248</v>
      </c>
      <c r="B13" s="1472"/>
      <c r="C13" s="1472"/>
      <c r="D13" s="1472"/>
      <c r="E13" s="1472"/>
      <c r="F13" s="1472"/>
      <c r="G13" s="1472"/>
      <c r="H13" s="1472"/>
      <c r="I13" s="1472"/>
      <c r="J13" s="1472"/>
      <c r="K13" s="601"/>
      <c r="L13" s="601"/>
    </row>
    <row r="14" spans="1:12" s="602" customFormat="1" ht="26.25" customHeight="1">
      <c r="A14" s="624"/>
      <c r="B14" s="624"/>
      <c r="C14" s="624"/>
      <c r="D14" s="624"/>
      <c r="E14" s="624"/>
      <c r="F14" s="624"/>
      <c r="G14" s="624"/>
      <c r="H14" s="624"/>
      <c r="I14" s="624"/>
      <c r="J14" s="603"/>
      <c r="K14" s="601"/>
      <c r="L14" s="601"/>
    </row>
    <row r="15" spans="1:12" s="602" customFormat="1" ht="53.25" customHeight="1">
      <c r="A15" s="1472" t="s">
        <v>1134</v>
      </c>
      <c r="B15" s="1472"/>
      <c r="C15" s="1472"/>
      <c r="D15" s="1472"/>
      <c r="E15" s="1472"/>
      <c r="F15" s="1472"/>
      <c r="G15" s="1472"/>
      <c r="H15" s="1472"/>
      <c r="I15" s="1472"/>
      <c r="J15" s="1472"/>
      <c r="K15" s="601"/>
      <c r="L15" s="601"/>
    </row>
    <row r="16" spans="1:12" s="602" customFormat="1" ht="24.2" customHeight="1">
      <c r="A16" s="624"/>
      <c r="B16" s="624"/>
      <c r="C16" s="624"/>
      <c r="D16" s="624"/>
      <c r="E16" s="624"/>
      <c r="F16" s="624"/>
      <c r="G16" s="624"/>
      <c r="H16" s="624"/>
      <c r="I16" s="624"/>
      <c r="J16" s="603"/>
      <c r="K16" s="601"/>
      <c r="L16" s="601"/>
    </row>
    <row r="17" spans="1:12" s="602" customFormat="1" ht="81.75" customHeight="1">
      <c r="A17" s="1472" t="s">
        <v>1249</v>
      </c>
      <c r="B17" s="1472"/>
      <c r="C17" s="1472"/>
      <c r="D17" s="1472"/>
      <c r="E17" s="1472"/>
      <c r="F17" s="1472"/>
      <c r="G17" s="1472"/>
      <c r="H17" s="1472"/>
      <c r="I17" s="1472"/>
      <c r="J17" s="1472"/>
      <c r="K17" s="601"/>
      <c r="L17" s="601"/>
    </row>
    <row r="18" spans="1:12" s="602" customFormat="1" ht="21" customHeight="1">
      <c r="A18" s="624"/>
      <c r="B18" s="624"/>
      <c r="C18" s="624"/>
      <c r="D18" s="624"/>
      <c r="E18" s="624"/>
      <c r="F18" s="624"/>
      <c r="G18" s="624"/>
      <c r="H18" s="624"/>
      <c r="I18" s="624"/>
      <c r="J18" s="603"/>
      <c r="K18" s="601"/>
      <c r="L18" s="601"/>
    </row>
    <row r="19" spans="1:12" s="602" customFormat="1" ht="48" customHeight="1">
      <c r="A19" s="1472" t="s">
        <v>1250</v>
      </c>
      <c r="B19" s="1472"/>
      <c r="C19" s="1472"/>
      <c r="D19" s="1472"/>
      <c r="E19" s="1472"/>
      <c r="F19" s="1472"/>
      <c r="G19" s="1472"/>
      <c r="H19" s="1472"/>
      <c r="I19" s="1472"/>
      <c r="J19" s="1472"/>
      <c r="K19" s="601"/>
      <c r="L19" s="601"/>
    </row>
    <row r="20" spans="1:12" s="602" customFormat="1" ht="26.25" customHeight="1">
      <c r="A20" s="624"/>
      <c r="B20" s="624"/>
      <c r="C20" s="604"/>
      <c r="D20" s="624"/>
      <c r="E20" s="624"/>
      <c r="F20" s="624"/>
      <c r="G20" s="624"/>
      <c r="H20" s="624"/>
      <c r="I20" s="624"/>
      <c r="J20" s="603"/>
      <c r="K20" s="601"/>
      <c r="L20" s="601"/>
    </row>
    <row r="21" spans="1:12" s="602" customFormat="1" ht="66" customHeight="1">
      <c r="A21" s="1472" t="s">
        <v>1251</v>
      </c>
      <c r="B21" s="1472"/>
      <c r="C21" s="1472"/>
      <c r="D21" s="1472"/>
      <c r="E21" s="1472"/>
      <c r="F21" s="1472"/>
      <c r="G21" s="1472"/>
      <c r="H21" s="1472"/>
      <c r="I21" s="1472"/>
      <c r="J21" s="1472"/>
      <c r="K21" s="601"/>
      <c r="L21" s="601"/>
    </row>
    <row r="22" spans="1:12" ht="30" customHeight="1">
      <c r="A22" s="132"/>
      <c r="B22" s="132"/>
      <c r="C22" s="132"/>
      <c r="D22" s="132"/>
      <c r="E22" s="132"/>
      <c r="F22" s="132"/>
      <c r="G22" s="132"/>
      <c r="H22" s="132"/>
      <c r="I22" s="132"/>
      <c r="J22" s="133"/>
      <c r="K22" s="121"/>
      <c r="L22" s="121"/>
    </row>
    <row r="23" spans="1:12" ht="18.75">
      <c r="A23" s="156"/>
      <c r="B23" s="156"/>
      <c r="C23" s="156"/>
      <c r="D23" s="156"/>
      <c r="E23" s="156"/>
      <c r="F23" s="156"/>
      <c r="G23" s="156"/>
      <c r="H23" s="156"/>
      <c r="I23" s="156"/>
      <c r="J23" s="156"/>
      <c r="K23" s="121"/>
      <c r="L23" s="121"/>
    </row>
    <row r="24" spans="1:12" ht="18.75">
      <c r="A24" s="156"/>
      <c r="B24" s="156"/>
      <c r="C24" s="156"/>
      <c r="D24" s="156"/>
      <c r="E24" s="156"/>
      <c r="F24" s="156"/>
      <c r="G24" s="156"/>
      <c r="H24" s="156"/>
      <c r="I24" s="156"/>
      <c r="J24" s="156"/>
      <c r="K24" s="121"/>
      <c r="L24" s="121"/>
    </row>
    <row r="25" spans="1:12" ht="18.75">
      <c r="A25" s="156"/>
      <c r="B25" s="156"/>
      <c r="C25" s="156"/>
      <c r="D25" s="156"/>
      <c r="E25" s="156"/>
      <c r="F25" s="156"/>
      <c r="G25" s="156"/>
      <c r="H25" s="156"/>
      <c r="I25" s="156"/>
      <c r="J25" s="156"/>
      <c r="K25" s="121"/>
      <c r="L25" s="121"/>
    </row>
    <row r="26" spans="1:12" ht="18.75">
      <c r="A26" s="156"/>
      <c r="B26" s="156"/>
      <c r="C26" s="156"/>
      <c r="D26" s="156"/>
      <c r="E26" s="156"/>
      <c r="F26" s="156"/>
      <c r="G26" s="156"/>
      <c r="H26" s="156"/>
      <c r="I26" s="156"/>
      <c r="J26" s="156"/>
      <c r="K26" s="121"/>
      <c r="L26" s="121"/>
    </row>
    <row r="27" spans="1:12" ht="18.75">
      <c r="A27" s="156"/>
      <c r="B27" s="156"/>
      <c r="C27" s="156"/>
      <c r="D27" s="156"/>
      <c r="E27" s="156"/>
      <c r="F27" s="156"/>
      <c r="G27" s="156"/>
      <c r="H27" s="156"/>
      <c r="I27" s="156"/>
      <c r="J27" s="156"/>
      <c r="K27" s="121"/>
      <c r="L27" s="121"/>
    </row>
    <row r="28" spans="1:12" ht="18.75">
      <c r="A28" s="156"/>
      <c r="B28" s="156"/>
      <c r="C28" s="156"/>
      <c r="D28" s="156"/>
      <c r="E28" s="156"/>
      <c r="F28" s="156"/>
      <c r="G28" s="156"/>
      <c r="H28" s="156"/>
      <c r="I28" s="156"/>
      <c r="J28" s="156"/>
      <c r="K28" s="121"/>
      <c r="L28" s="121"/>
    </row>
    <row r="29" spans="1:12" ht="18.75">
      <c r="A29" s="156"/>
      <c r="B29" s="156"/>
      <c r="C29" s="156"/>
      <c r="D29" s="156"/>
      <c r="E29" s="156"/>
      <c r="F29" s="156"/>
      <c r="G29" s="156"/>
      <c r="H29" s="156"/>
      <c r="I29" s="156"/>
      <c r="J29" s="156"/>
      <c r="K29" s="121"/>
      <c r="L29" s="121"/>
    </row>
    <row r="30" spans="1:12" ht="18.75">
      <c r="A30" s="156"/>
      <c r="B30" s="156"/>
      <c r="C30" s="156"/>
      <c r="D30" s="156"/>
      <c r="E30" s="156"/>
      <c r="F30" s="156"/>
      <c r="G30" s="156"/>
      <c r="H30" s="156"/>
      <c r="I30" s="156"/>
      <c r="J30" s="156"/>
      <c r="K30" s="121"/>
      <c r="L30" s="121"/>
    </row>
    <row r="31" spans="1:12" ht="18.75">
      <c r="A31" s="156"/>
      <c r="B31" s="156"/>
      <c r="C31" s="156"/>
      <c r="D31" s="156"/>
      <c r="E31" s="156"/>
      <c r="F31" s="156"/>
      <c r="G31" s="156"/>
      <c r="H31" s="156"/>
      <c r="I31" s="156"/>
      <c r="J31" s="156"/>
      <c r="K31" s="121"/>
      <c r="L31" s="121"/>
    </row>
    <row r="32" spans="1:12" ht="18.75">
      <c r="A32" s="156"/>
      <c r="B32" s="156"/>
      <c r="C32" s="156"/>
      <c r="D32" s="156"/>
      <c r="E32" s="156"/>
      <c r="F32" s="156"/>
      <c r="G32" s="156"/>
      <c r="H32" s="156"/>
      <c r="I32" s="156"/>
      <c r="J32" s="156"/>
      <c r="K32" s="121"/>
      <c r="L32" s="121"/>
    </row>
    <row r="33" spans="1:12" ht="18.75">
      <c r="A33" s="156"/>
      <c r="B33" s="156"/>
      <c r="C33" s="156"/>
      <c r="D33" s="156"/>
      <c r="E33" s="156"/>
      <c r="F33" s="156"/>
      <c r="G33" s="156"/>
      <c r="H33" s="156"/>
      <c r="I33" s="156"/>
      <c r="J33" s="156"/>
      <c r="K33" s="121"/>
      <c r="L33" s="121"/>
    </row>
    <row r="34" spans="1:12" ht="18.75">
      <c r="A34" s="156"/>
      <c r="B34" s="156"/>
      <c r="C34" s="156"/>
      <c r="D34" s="156"/>
      <c r="E34" s="156"/>
      <c r="F34" s="156"/>
      <c r="G34" s="156"/>
      <c r="H34" s="156"/>
      <c r="I34" s="156"/>
      <c r="J34" s="156"/>
      <c r="K34" s="121"/>
      <c r="L34" s="121"/>
    </row>
    <row r="35" spans="1:12" ht="18.75">
      <c r="A35" s="156"/>
      <c r="B35" s="156"/>
      <c r="C35" s="156"/>
      <c r="D35" s="156"/>
      <c r="E35" s="156"/>
      <c r="F35" s="156"/>
      <c r="G35" s="156"/>
      <c r="H35" s="156"/>
      <c r="I35" s="156"/>
      <c r="J35" s="156"/>
      <c r="K35" s="121"/>
      <c r="L35" s="121"/>
    </row>
    <row r="36" spans="1:12" ht="18.75">
      <c r="A36" s="156"/>
      <c r="B36" s="156"/>
      <c r="C36" s="156"/>
      <c r="D36" s="156"/>
      <c r="E36" s="156"/>
      <c r="F36" s="156"/>
      <c r="G36" s="156"/>
      <c r="H36" s="156"/>
      <c r="I36" s="156"/>
      <c r="J36" s="156"/>
      <c r="K36" s="121"/>
      <c r="L36" s="121"/>
    </row>
    <row r="37" spans="1:12" ht="18.75">
      <c r="A37" s="156"/>
      <c r="B37" s="156"/>
      <c r="C37" s="156"/>
      <c r="D37" s="156"/>
      <c r="E37" s="156"/>
      <c r="F37" s="156"/>
      <c r="G37" s="156"/>
      <c r="H37" s="156"/>
      <c r="I37" s="156"/>
      <c r="J37" s="156"/>
      <c r="K37" s="121"/>
      <c r="L37" s="121"/>
    </row>
    <row r="38" spans="1:12" ht="18.75">
      <c r="A38" s="156"/>
      <c r="B38" s="156"/>
      <c r="C38" s="156"/>
      <c r="D38" s="156"/>
      <c r="E38" s="156"/>
      <c r="F38" s="156"/>
      <c r="G38" s="156"/>
      <c r="H38" s="156"/>
      <c r="I38" s="156"/>
      <c r="J38" s="156"/>
      <c r="K38" s="121"/>
      <c r="L38" s="121"/>
    </row>
    <row r="39" spans="1:12" ht="18.75">
      <c r="A39" s="156"/>
      <c r="B39" s="156"/>
      <c r="C39" s="156"/>
      <c r="D39" s="156"/>
      <c r="E39" s="156"/>
      <c r="F39" s="156"/>
      <c r="G39" s="156"/>
      <c r="H39" s="156"/>
      <c r="I39" s="156"/>
      <c r="J39" s="156"/>
      <c r="K39" s="121"/>
      <c r="L39" s="121"/>
    </row>
    <row r="40" spans="1:12" ht="18.75">
      <c r="A40" s="156"/>
      <c r="B40" s="156"/>
      <c r="C40" s="156"/>
      <c r="D40" s="156"/>
      <c r="E40" s="156"/>
      <c r="F40" s="156"/>
      <c r="G40" s="156"/>
      <c r="H40" s="156"/>
      <c r="I40" s="156"/>
      <c r="J40" s="156"/>
      <c r="K40" s="121"/>
      <c r="L40" s="121"/>
    </row>
    <row r="41" spans="1:12" ht="18.75">
      <c r="A41" s="156"/>
      <c r="B41" s="156"/>
      <c r="C41" s="156"/>
      <c r="D41" s="156"/>
      <c r="E41" s="156"/>
      <c r="F41" s="156"/>
      <c r="G41" s="156"/>
      <c r="H41" s="156"/>
      <c r="I41" s="156"/>
      <c r="J41" s="156"/>
      <c r="K41" s="121"/>
      <c r="L41" s="121"/>
    </row>
    <row r="42" spans="1:12" ht="18.75">
      <c r="A42" s="156"/>
      <c r="B42" s="156"/>
      <c r="C42" s="156"/>
      <c r="D42" s="156"/>
      <c r="E42" s="156"/>
      <c r="F42" s="156"/>
      <c r="G42" s="156"/>
      <c r="H42" s="156"/>
      <c r="I42" s="156"/>
      <c r="J42" s="156"/>
      <c r="K42" s="121"/>
      <c r="L42" s="121"/>
    </row>
    <row r="43" spans="1:12" ht="18.75">
      <c r="A43" s="156"/>
      <c r="B43" s="156"/>
      <c r="C43" s="156"/>
      <c r="D43" s="156"/>
      <c r="E43" s="156"/>
      <c r="F43" s="156"/>
      <c r="G43" s="156"/>
      <c r="H43" s="156"/>
      <c r="I43" s="156"/>
      <c r="J43" s="156"/>
      <c r="K43" s="121"/>
      <c r="L43" s="121"/>
    </row>
    <row r="44" spans="1:12" ht="18.75">
      <c r="A44" s="156"/>
      <c r="B44" s="156"/>
      <c r="C44" s="156"/>
      <c r="D44" s="156"/>
      <c r="E44" s="156"/>
      <c r="F44" s="156"/>
      <c r="G44" s="156"/>
      <c r="H44" s="156"/>
      <c r="I44" s="156"/>
      <c r="J44" s="156"/>
      <c r="K44" s="121"/>
      <c r="L44" s="121"/>
    </row>
    <row r="45" spans="1:12" ht="18.75">
      <c r="A45" s="156"/>
      <c r="B45" s="156"/>
      <c r="C45" s="156"/>
      <c r="D45" s="156"/>
      <c r="E45" s="156"/>
      <c r="F45" s="156"/>
      <c r="G45" s="156"/>
      <c r="H45" s="156"/>
      <c r="I45" s="156"/>
      <c r="J45" s="156"/>
      <c r="K45" s="121"/>
      <c r="L45" s="121"/>
    </row>
    <row r="46" spans="1:12" ht="18.75">
      <c r="A46" s="156"/>
      <c r="B46" s="156"/>
      <c r="C46" s="156"/>
      <c r="D46" s="156"/>
      <c r="E46" s="156"/>
      <c r="F46" s="156"/>
      <c r="G46" s="156"/>
      <c r="H46" s="156"/>
      <c r="I46" s="156"/>
      <c r="J46" s="156"/>
      <c r="K46" s="121"/>
      <c r="L46" s="121"/>
    </row>
    <row r="47" spans="1:12" ht="18.75">
      <c r="A47" s="156"/>
      <c r="B47" s="156"/>
      <c r="C47" s="156"/>
      <c r="D47" s="156"/>
      <c r="E47" s="156"/>
      <c r="F47" s="156"/>
      <c r="G47" s="156"/>
      <c r="H47" s="156"/>
      <c r="I47" s="156"/>
      <c r="J47" s="156"/>
      <c r="K47" s="121"/>
      <c r="L47" s="121"/>
    </row>
    <row r="48" spans="1:12" ht="18.75">
      <c r="A48" s="156"/>
      <c r="B48" s="156"/>
      <c r="C48" s="156"/>
      <c r="D48" s="156"/>
      <c r="E48" s="156"/>
      <c r="F48" s="156"/>
      <c r="G48" s="156"/>
      <c r="H48" s="156"/>
      <c r="I48" s="156"/>
      <c r="J48" s="156"/>
      <c r="K48" s="121"/>
      <c r="L48" s="121"/>
    </row>
    <row r="49" spans="1:12" ht="18.75">
      <c r="A49" s="156"/>
      <c r="B49" s="156"/>
      <c r="C49" s="156"/>
      <c r="D49" s="156"/>
      <c r="E49" s="156"/>
      <c r="F49" s="156"/>
      <c r="G49" s="156"/>
      <c r="H49" s="156"/>
      <c r="I49" s="156"/>
      <c r="J49" s="156"/>
      <c r="K49" s="121"/>
      <c r="L49" s="121"/>
    </row>
    <row r="50" spans="1:12" ht="18.75">
      <c r="A50" s="156"/>
      <c r="B50" s="156"/>
      <c r="C50" s="156"/>
      <c r="D50" s="156"/>
      <c r="E50" s="156"/>
      <c r="F50" s="156"/>
      <c r="G50" s="156"/>
      <c r="H50" s="156"/>
      <c r="I50" s="156"/>
      <c r="J50" s="156"/>
      <c r="K50" s="121"/>
      <c r="L50" s="121"/>
    </row>
    <row r="51" spans="1:12" ht="18.75">
      <c r="A51" s="156"/>
      <c r="B51" s="156"/>
      <c r="C51" s="156"/>
      <c r="D51" s="156"/>
      <c r="E51" s="156"/>
      <c r="F51" s="156"/>
      <c r="G51" s="156"/>
      <c r="H51" s="156"/>
      <c r="I51" s="156"/>
      <c r="J51" s="156"/>
      <c r="K51" s="121"/>
      <c r="L51" s="121"/>
    </row>
    <row r="52" spans="1:12" ht="18.75">
      <c r="A52" s="156"/>
      <c r="B52" s="156"/>
      <c r="C52" s="156"/>
      <c r="D52" s="156"/>
      <c r="E52" s="156"/>
      <c r="F52" s="156"/>
      <c r="G52" s="156"/>
      <c r="H52" s="156"/>
      <c r="I52" s="156"/>
      <c r="J52" s="156"/>
      <c r="K52" s="121"/>
      <c r="L52" s="121"/>
    </row>
    <row r="53" spans="1:12" ht="18.75">
      <c r="A53" s="156"/>
      <c r="B53" s="156"/>
      <c r="C53" s="156"/>
      <c r="D53" s="156"/>
      <c r="E53" s="156"/>
      <c r="F53" s="156"/>
      <c r="G53" s="156"/>
      <c r="H53" s="156"/>
      <c r="I53" s="156"/>
      <c r="J53" s="156"/>
      <c r="K53" s="121"/>
      <c r="L53" s="121"/>
    </row>
    <row r="54" spans="1:12" ht="18.75">
      <c r="A54" s="156"/>
      <c r="B54" s="156"/>
      <c r="C54" s="156"/>
      <c r="D54" s="156"/>
      <c r="E54" s="156"/>
      <c r="F54" s="156"/>
      <c r="G54" s="156"/>
      <c r="H54" s="156"/>
      <c r="I54" s="156"/>
      <c r="J54" s="156"/>
      <c r="K54" s="121"/>
      <c r="L54" s="121"/>
    </row>
    <row r="55" spans="1:12" ht="18.75">
      <c r="A55" s="156"/>
      <c r="B55" s="156"/>
      <c r="C55" s="156"/>
      <c r="D55" s="156"/>
      <c r="E55" s="156"/>
      <c r="F55" s="156"/>
      <c r="G55" s="156"/>
      <c r="H55" s="156"/>
      <c r="I55" s="156"/>
      <c r="J55" s="156"/>
      <c r="K55" s="121"/>
      <c r="L55" s="121"/>
    </row>
    <row r="56" spans="1:12" ht="18.75">
      <c r="A56" s="156"/>
      <c r="B56" s="156"/>
      <c r="C56" s="156"/>
      <c r="D56" s="156"/>
      <c r="E56" s="156"/>
      <c r="F56" s="156"/>
      <c r="G56" s="156"/>
      <c r="H56" s="156"/>
      <c r="I56" s="156"/>
      <c r="J56" s="156"/>
      <c r="K56" s="121"/>
      <c r="L56" s="121"/>
    </row>
    <row r="57" spans="1:12" ht="18.75">
      <c r="A57" s="156"/>
      <c r="B57" s="156"/>
      <c r="C57" s="156"/>
      <c r="D57" s="156"/>
      <c r="E57" s="156"/>
      <c r="F57" s="156"/>
      <c r="G57" s="156"/>
      <c r="H57" s="156"/>
      <c r="I57" s="156"/>
      <c r="J57" s="156"/>
      <c r="K57" s="121"/>
      <c r="L57" s="121"/>
    </row>
    <row r="58" spans="1:12" ht="18.75">
      <c r="A58" s="156"/>
      <c r="B58" s="156"/>
      <c r="C58" s="156"/>
      <c r="D58" s="156"/>
      <c r="E58" s="156"/>
      <c r="F58" s="156"/>
      <c r="G58" s="156"/>
      <c r="H58" s="156"/>
      <c r="I58" s="156"/>
      <c r="J58" s="156"/>
      <c r="K58" s="121"/>
      <c r="L58" s="121"/>
    </row>
    <row r="59" spans="1:12" ht="18.75">
      <c r="A59" s="156"/>
      <c r="B59" s="156"/>
      <c r="C59" s="156"/>
      <c r="D59" s="156"/>
      <c r="E59" s="156"/>
      <c r="F59" s="156"/>
      <c r="G59" s="156"/>
      <c r="H59" s="156"/>
      <c r="I59" s="156"/>
      <c r="J59" s="156"/>
      <c r="K59" s="121"/>
      <c r="L59" s="121"/>
    </row>
    <row r="60" spans="1:12" ht="18.75">
      <c r="A60" s="156"/>
      <c r="B60" s="156"/>
      <c r="C60" s="156"/>
      <c r="D60" s="156"/>
      <c r="E60" s="156"/>
      <c r="F60" s="156"/>
      <c r="G60" s="156"/>
      <c r="H60" s="156"/>
      <c r="I60" s="156"/>
      <c r="J60" s="156"/>
      <c r="K60" s="121"/>
      <c r="L60" s="121"/>
    </row>
    <row r="61" spans="1:12" ht="18.75">
      <c r="A61" s="156"/>
      <c r="B61" s="156"/>
      <c r="C61" s="156"/>
      <c r="D61" s="156"/>
      <c r="E61" s="156"/>
      <c r="F61" s="156"/>
      <c r="G61" s="156"/>
      <c r="H61" s="156"/>
      <c r="I61" s="156"/>
      <c r="J61" s="156"/>
      <c r="K61" s="121"/>
      <c r="L61" s="121"/>
    </row>
    <row r="62" spans="1:12" ht="18.75">
      <c r="A62" s="156"/>
      <c r="B62" s="156"/>
      <c r="C62" s="156"/>
      <c r="D62" s="156"/>
      <c r="E62" s="156"/>
      <c r="F62" s="156"/>
      <c r="G62" s="156"/>
      <c r="H62" s="156"/>
      <c r="I62" s="156"/>
      <c r="J62" s="156"/>
      <c r="K62" s="121"/>
      <c r="L62" s="121"/>
    </row>
    <row r="63" spans="1:12" ht="18.75">
      <c r="A63" s="156"/>
      <c r="B63" s="156"/>
      <c r="C63" s="156"/>
      <c r="D63" s="156"/>
      <c r="E63" s="156"/>
      <c r="F63" s="156"/>
      <c r="G63" s="156"/>
      <c r="H63" s="156"/>
      <c r="I63" s="156"/>
      <c r="J63" s="156"/>
      <c r="K63" s="121"/>
      <c r="L63" s="121"/>
    </row>
    <row r="64" spans="1:12" ht="18.75">
      <c r="A64" s="156"/>
      <c r="B64" s="156"/>
      <c r="C64" s="156"/>
      <c r="D64" s="156"/>
      <c r="E64" s="156"/>
      <c r="F64" s="156"/>
      <c r="G64" s="156"/>
      <c r="H64" s="156"/>
      <c r="I64" s="156"/>
      <c r="J64" s="156"/>
      <c r="K64" s="121"/>
      <c r="L64" s="121"/>
    </row>
    <row r="65" spans="1:12" ht="18.75">
      <c r="A65" s="156"/>
      <c r="B65" s="156"/>
      <c r="C65" s="156"/>
      <c r="D65" s="156"/>
      <c r="E65" s="156"/>
      <c r="F65" s="156"/>
      <c r="G65" s="156"/>
      <c r="H65" s="156"/>
      <c r="I65" s="156"/>
      <c r="J65" s="156"/>
      <c r="K65" s="121"/>
      <c r="L65" s="121"/>
    </row>
    <row r="66" spans="1:12" ht="18.75">
      <c r="A66" s="156"/>
      <c r="B66" s="156"/>
      <c r="C66" s="156"/>
      <c r="D66" s="156"/>
      <c r="E66" s="156"/>
      <c r="F66" s="156"/>
      <c r="G66" s="156"/>
      <c r="H66" s="156"/>
      <c r="I66" s="156"/>
      <c r="J66" s="156"/>
      <c r="K66" s="121"/>
      <c r="L66" s="121"/>
    </row>
    <row r="67" spans="1:12" ht="18.75">
      <c r="A67" s="156"/>
      <c r="B67" s="156"/>
      <c r="C67" s="156"/>
      <c r="D67" s="156"/>
      <c r="E67" s="156"/>
      <c r="F67" s="156"/>
      <c r="G67" s="156"/>
      <c r="H67" s="156"/>
      <c r="I67" s="156"/>
      <c r="J67" s="156"/>
      <c r="K67" s="121"/>
      <c r="L67" s="121"/>
    </row>
    <row r="68" spans="1:12" ht="18.75">
      <c r="A68" s="156"/>
      <c r="B68" s="156"/>
      <c r="C68" s="156"/>
      <c r="D68" s="156"/>
      <c r="E68" s="156"/>
      <c r="F68" s="156"/>
      <c r="G68" s="156"/>
      <c r="H68" s="156"/>
      <c r="I68" s="156"/>
      <c r="J68" s="156"/>
      <c r="K68" s="121"/>
      <c r="L68" s="121"/>
    </row>
    <row r="69" spans="1:12" ht="18.75">
      <c r="A69" s="156"/>
      <c r="B69" s="156"/>
      <c r="C69" s="156"/>
      <c r="D69" s="156"/>
      <c r="E69" s="156"/>
      <c r="F69" s="156"/>
      <c r="G69" s="156"/>
      <c r="H69" s="156"/>
      <c r="I69" s="156"/>
      <c r="J69" s="156"/>
      <c r="K69" s="121"/>
      <c r="L69" s="121"/>
    </row>
    <row r="70" spans="1:12" ht="18.75">
      <c r="A70" s="156"/>
      <c r="B70" s="156"/>
      <c r="C70" s="156"/>
      <c r="D70" s="156"/>
      <c r="E70" s="156"/>
      <c r="F70" s="156"/>
      <c r="G70" s="156"/>
      <c r="H70" s="156"/>
      <c r="I70" s="156"/>
      <c r="J70" s="156"/>
      <c r="K70" s="121"/>
      <c r="L70" s="121"/>
    </row>
    <row r="71" spans="1:12" ht="18.75">
      <c r="A71" s="156"/>
      <c r="B71" s="156"/>
      <c r="C71" s="156"/>
      <c r="D71" s="156"/>
      <c r="E71" s="156"/>
      <c r="F71" s="156"/>
      <c r="G71" s="156"/>
      <c r="H71" s="156"/>
      <c r="I71" s="156"/>
      <c r="J71" s="156"/>
      <c r="K71" s="121"/>
      <c r="L71" s="121"/>
    </row>
    <row r="72" spans="1:12" ht="18.75">
      <c r="A72" s="156"/>
      <c r="B72" s="156"/>
      <c r="C72" s="156"/>
      <c r="D72" s="156"/>
      <c r="E72" s="156"/>
      <c r="F72" s="156"/>
      <c r="G72" s="156"/>
      <c r="H72" s="156"/>
      <c r="I72" s="156"/>
      <c r="J72" s="156"/>
      <c r="K72" s="121"/>
      <c r="L72" s="121"/>
    </row>
    <row r="73" spans="1:12" ht="18.75">
      <c r="A73" s="156"/>
      <c r="B73" s="156"/>
      <c r="C73" s="156"/>
      <c r="D73" s="156"/>
      <c r="E73" s="156"/>
      <c r="F73" s="156"/>
      <c r="G73" s="156"/>
      <c r="H73" s="156"/>
      <c r="I73" s="156"/>
      <c r="J73" s="156"/>
      <c r="K73" s="121"/>
      <c r="L73" s="121"/>
    </row>
    <row r="74" spans="1:12" ht="18.75">
      <c r="K74" s="121"/>
      <c r="L74" s="121"/>
    </row>
    <row r="75" spans="1:12" ht="18.75">
      <c r="K75" s="121"/>
      <c r="L75" s="121"/>
    </row>
    <row r="76" spans="1:12" ht="18.75">
      <c r="K76" s="121"/>
      <c r="L76" s="121"/>
    </row>
    <row r="77" spans="1:12" ht="18.75">
      <c r="K77" s="121"/>
      <c r="L77" s="121"/>
    </row>
    <row r="78" spans="1:12" ht="18.75">
      <c r="K78" s="121"/>
      <c r="L78" s="121"/>
    </row>
    <row r="79" spans="1:12" ht="18.75">
      <c r="K79" s="121"/>
      <c r="L79" s="121"/>
    </row>
    <row r="80" spans="1:12" ht="18.75">
      <c r="K80" s="121"/>
      <c r="L80" s="121"/>
    </row>
    <row r="81" spans="11:12" ht="18.75">
      <c r="K81" s="121"/>
      <c r="L81" s="121"/>
    </row>
    <row r="82" spans="11:12" ht="18.75">
      <c r="K82" s="121"/>
      <c r="L82" s="121"/>
    </row>
    <row r="83" spans="11:12" ht="18.75">
      <c r="K83" s="121"/>
      <c r="L83" s="121"/>
    </row>
    <row r="84" spans="11:12" ht="18.75">
      <c r="K84" s="121"/>
      <c r="L84" s="121"/>
    </row>
    <row r="85" spans="11:12" ht="18.75">
      <c r="K85" s="121"/>
      <c r="L85" s="121"/>
    </row>
    <row r="86" spans="11:12" ht="18.75">
      <c r="K86" s="121"/>
      <c r="L86" s="121"/>
    </row>
    <row r="87" spans="11:12" ht="18.75">
      <c r="K87" s="121"/>
      <c r="L87" s="121"/>
    </row>
    <row r="88" spans="11:12" ht="18.75">
      <c r="K88" s="121"/>
      <c r="L88" s="121"/>
    </row>
    <row r="89" spans="11:12" ht="18.75">
      <c r="K89" s="121"/>
      <c r="L89" s="121"/>
    </row>
    <row r="90" spans="11:12" ht="18.75">
      <c r="K90" s="121"/>
      <c r="L90" s="121"/>
    </row>
    <row r="91" spans="11:12" ht="18.75">
      <c r="K91" s="121"/>
      <c r="L91" s="121"/>
    </row>
    <row r="92" spans="11:12" ht="18.75">
      <c r="K92" s="121"/>
      <c r="L92" s="121"/>
    </row>
    <row r="93" spans="11:12" ht="18.75">
      <c r="K93" s="121"/>
      <c r="L93" s="121"/>
    </row>
    <row r="94" spans="11:12" ht="18.75">
      <c r="K94" s="121"/>
      <c r="L94" s="121"/>
    </row>
    <row r="95" spans="11:12" ht="18.75">
      <c r="K95" s="121"/>
      <c r="L95" s="121"/>
    </row>
    <row r="96" spans="11:12" ht="18.75">
      <c r="K96" s="121"/>
      <c r="L96" s="121"/>
    </row>
    <row r="97" spans="11:12" ht="18.75">
      <c r="K97" s="121"/>
      <c r="L97" s="121"/>
    </row>
    <row r="98" spans="11:12" ht="18.75">
      <c r="K98" s="121"/>
      <c r="L98" s="121"/>
    </row>
    <row r="99" spans="11:12" ht="18.75">
      <c r="K99" s="121"/>
      <c r="L99" s="121"/>
    </row>
    <row r="100" spans="11:12" ht="18.75">
      <c r="K100" s="121"/>
      <c r="L100" s="121"/>
    </row>
    <row r="101" spans="11:12" ht="18.75">
      <c r="K101" s="121"/>
      <c r="L101" s="121"/>
    </row>
    <row r="102" spans="11:12" ht="18.75">
      <c r="K102" s="121"/>
      <c r="L102" s="121"/>
    </row>
    <row r="103" spans="11:12" ht="18.75">
      <c r="K103" s="121"/>
      <c r="L103" s="121"/>
    </row>
    <row r="104" spans="11:12" ht="18.75">
      <c r="K104" s="121"/>
      <c r="L104" s="121"/>
    </row>
    <row r="105" spans="11:12" ht="18.75">
      <c r="K105" s="121"/>
      <c r="L105" s="121"/>
    </row>
    <row r="106" spans="11:12" ht="18.75">
      <c r="K106" s="121"/>
      <c r="L106" s="121"/>
    </row>
    <row r="107" spans="11:12" ht="18.75">
      <c r="K107" s="121"/>
      <c r="L107" s="121"/>
    </row>
    <row r="108" spans="11:12" ht="18.75">
      <c r="K108" s="121"/>
      <c r="L108" s="121"/>
    </row>
    <row r="109" spans="11:12" ht="18.75">
      <c r="K109" s="121"/>
      <c r="L109" s="121"/>
    </row>
    <row r="110" spans="11:12" ht="18.75">
      <c r="K110" s="121"/>
      <c r="L110" s="121"/>
    </row>
    <row r="111" spans="11:12" ht="18.75">
      <c r="K111" s="121"/>
      <c r="L111" s="121"/>
    </row>
    <row r="112" spans="11:12" ht="18.75">
      <c r="K112" s="121"/>
      <c r="L112" s="121"/>
    </row>
    <row r="113" spans="11:12" ht="18.75">
      <c r="K113" s="121"/>
      <c r="L113" s="121"/>
    </row>
    <row r="114" spans="11:12" ht="18.75">
      <c r="K114" s="121"/>
      <c r="L114" s="121"/>
    </row>
    <row r="115" spans="11:12" ht="18.75">
      <c r="K115" s="121"/>
      <c r="L115" s="121"/>
    </row>
    <row r="116" spans="11:12" ht="18.75">
      <c r="K116" s="121"/>
      <c r="L116" s="121"/>
    </row>
    <row r="117" spans="11:12" ht="18.75">
      <c r="K117" s="121"/>
      <c r="L117" s="121"/>
    </row>
    <row r="118" spans="11:12" ht="18.75">
      <c r="K118" s="121"/>
      <c r="L118" s="121"/>
    </row>
    <row r="119" spans="11:12" ht="18.75">
      <c r="K119" s="121"/>
      <c r="L119" s="121"/>
    </row>
    <row r="120" spans="11:12" ht="18.75">
      <c r="K120" s="121"/>
      <c r="L120" s="121"/>
    </row>
    <row r="121" spans="11:12" ht="18.75">
      <c r="K121" s="121"/>
      <c r="L121" s="121"/>
    </row>
    <row r="122" spans="11:12" ht="18.75">
      <c r="K122" s="121"/>
      <c r="L122" s="121"/>
    </row>
    <row r="123" spans="11:12" ht="18.75">
      <c r="K123" s="121"/>
      <c r="L123" s="121"/>
    </row>
    <row r="124" spans="11:12" ht="18.75">
      <c r="K124" s="121"/>
      <c r="L124" s="121"/>
    </row>
    <row r="125" spans="11:12" ht="18.75">
      <c r="K125" s="121"/>
      <c r="L125" s="121"/>
    </row>
    <row r="126" spans="11:12" ht="18.75">
      <c r="K126" s="121"/>
      <c r="L126" s="121"/>
    </row>
    <row r="127" spans="11:12" ht="18.75">
      <c r="K127" s="121"/>
      <c r="L127" s="121"/>
    </row>
    <row r="128" spans="11:12" ht="18.75">
      <c r="K128" s="121"/>
      <c r="L128" s="121"/>
    </row>
    <row r="129" spans="11:12" ht="18.75">
      <c r="K129" s="121"/>
      <c r="L129" s="121"/>
    </row>
    <row r="130" spans="11:12" ht="18.75">
      <c r="K130" s="121"/>
      <c r="L130" s="121"/>
    </row>
    <row r="131" spans="11:12" ht="18.75">
      <c r="K131" s="121"/>
      <c r="L131" s="121"/>
    </row>
    <row r="132" spans="11:12" ht="18.75">
      <c r="K132" s="121"/>
      <c r="L132" s="121"/>
    </row>
    <row r="133" spans="11:12" ht="18.75">
      <c r="K133" s="121"/>
      <c r="L133" s="121"/>
    </row>
    <row r="134" spans="11:12" ht="18.75">
      <c r="K134" s="121"/>
      <c r="L134" s="121"/>
    </row>
    <row r="135" spans="11:12" ht="18.75">
      <c r="K135" s="121"/>
      <c r="L135" s="121"/>
    </row>
    <row r="136" spans="11:12" ht="18.75">
      <c r="K136" s="141"/>
      <c r="L136" s="141"/>
    </row>
    <row r="137" spans="11:12" ht="18.75">
      <c r="K137" s="141"/>
      <c r="L137" s="141"/>
    </row>
    <row r="138" spans="11:12" ht="18.75">
      <c r="K138" s="141"/>
      <c r="L138" s="141"/>
    </row>
    <row r="139" spans="11:12" ht="18.75">
      <c r="K139" s="141"/>
      <c r="L139" s="141"/>
    </row>
    <row r="140" spans="11:12" ht="18.75">
      <c r="K140" s="121"/>
      <c r="L140" s="121"/>
    </row>
    <row r="141" spans="11:12" ht="18.75">
      <c r="K141" s="121"/>
      <c r="L141" s="121"/>
    </row>
    <row r="142" spans="11:12" ht="18.75">
      <c r="K142" s="121"/>
      <c r="L142" s="121"/>
    </row>
    <row r="143" spans="11:12" ht="18.75">
      <c r="K143" s="121"/>
      <c r="L143" s="121"/>
    </row>
    <row r="144" spans="11:12" ht="18.75">
      <c r="K144" s="121"/>
      <c r="L144" s="121"/>
    </row>
    <row r="145" spans="11:12" ht="18.75">
      <c r="K145" s="121"/>
      <c r="L145" s="121"/>
    </row>
    <row r="146" spans="11:12" ht="18.75">
      <c r="K146" s="173"/>
      <c r="L146" s="173"/>
    </row>
    <row r="147" spans="11:12" ht="18.75">
      <c r="K147" s="173"/>
      <c r="L147" s="173"/>
    </row>
    <row r="148" spans="11:12" ht="18.75">
      <c r="K148" s="173"/>
      <c r="L148" s="173"/>
    </row>
    <row r="149" spans="11:12" ht="18.75">
      <c r="K149" s="173"/>
      <c r="L149" s="173"/>
    </row>
    <row r="150" spans="11:12" ht="18.75">
      <c r="K150" s="173"/>
      <c r="L150" s="173"/>
    </row>
    <row r="151" spans="11:12" ht="18.75">
      <c r="K151" s="173"/>
      <c r="L151" s="173"/>
    </row>
    <row r="152" spans="11:12" ht="18.75">
      <c r="K152" s="173"/>
      <c r="L152" s="173"/>
    </row>
    <row r="153" spans="11:12" ht="18.75">
      <c r="K153" s="173"/>
      <c r="L153" s="173"/>
    </row>
    <row r="154" spans="11:12" ht="18.75">
      <c r="K154" s="173"/>
      <c r="L154" s="173"/>
    </row>
    <row r="155" spans="11:12" ht="18.75">
      <c r="K155" s="173"/>
      <c r="L155" s="173"/>
    </row>
    <row r="156" spans="11:12" ht="18.75">
      <c r="K156" s="173"/>
      <c r="L156" s="173"/>
    </row>
    <row r="157" spans="11:12" ht="18.75">
      <c r="K157" s="173"/>
      <c r="L157" s="173"/>
    </row>
    <row r="158" spans="11:12" ht="18.75">
      <c r="K158" s="173"/>
      <c r="L158" s="173"/>
    </row>
    <row r="159" spans="11:12" ht="18.75">
      <c r="K159" s="173"/>
      <c r="L159" s="173"/>
    </row>
    <row r="160" spans="11:12" ht="18.75">
      <c r="K160" s="173"/>
      <c r="L160" s="173"/>
    </row>
    <row r="161" spans="11:12" ht="18.75">
      <c r="K161" s="173"/>
      <c r="L161" s="173"/>
    </row>
    <row r="162" spans="11:12" ht="18.75">
      <c r="K162" s="173"/>
      <c r="L162" s="173"/>
    </row>
    <row r="163" spans="11:12" ht="18.75">
      <c r="K163" s="173"/>
      <c r="L163" s="173"/>
    </row>
    <row r="164" spans="11:12" ht="18.75">
      <c r="K164" s="173"/>
      <c r="L164" s="173"/>
    </row>
    <row r="165" spans="11:12" ht="18.75">
      <c r="K165" s="173"/>
      <c r="L165" s="173"/>
    </row>
    <row r="166" spans="11:12" ht="18.75">
      <c r="K166" s="173"/>
      <c r="L166" s="173"/>
    </row>
    <row r="167" spans="11:12" ht="18.75">
      <c r="K167" s="173"/>
      <c r="L167" s="173"/>
    </row>
    <row r="168" spans="11:12" ht="18.75">
      <c r="K168" s="173"/>
      <c r="L168" s="173"/>
    </row>
    <row r="169" spans="11:12" ht="18.75">
      <c r="K169" s="173"/>
      <c r="L169" s="173"/>
    </row>
    <row r="170" spans="11:12" ht="18.75">
      <c r="K170" s="173"/>
      <c r="L170" s="173"/>
    </row>
    <row r="171" spans="11:12" ht="18.75">
      <c r="K171" s="173"/>
      <c r="L171" s="173"/>
    </row>
    <row r="172" spans="11:12" ht="18.75">
      <c r="K172" s="173"/>
      <c r="L172" s="173"/>
    </row>
    <row r="173" spans="11:12" ht="18.75">
      <c r="K173" s="173"/>
      <c r="L173" s="173"/>
    </row>
    <row r="174" spans="11:12" ht="18.75">
      <c r="K174" s="173"/>
      <c r="L174" s="173"/>
    </row>
    <row r="175" spans="11:12" ht="18.75">
      <c r="K175" s="173"/>
      <c r="L175" s="173"/>
    </row>
    <row r="176" spans="11:12" ht="18.75">
      <c r="K176" s="173"/>
      <c r="L176" s="173"/>
    </row>
    <row r="177" spans="11:12" ht="18.75">
      <c r="K177" s="173"/>
      <c r="L177" s="173"/>
    </row>
    <row r="178" spans="11:12" ht="18.75">
      <c r="K178" s="173"/>
      <c r="L178" s="173"/>
    </row>
    <row r="179" spans="11:12" ht="18.75">
      <c r="K179" s="173"/>
      <c r="L179" s="173"/>
    </row>
    <row r="180" spans="11:12" ht="18.75">
      <c r="K180" s="173"/>
      <c r="L180" s="173"/>
    </row>
    <row r="181" spans="11:12" ht="18.75">
      <c r="K181" s="173"/>
      <c r="L181" s="173"/>
    </row>
    <row r="182" spans="11:12" ht="18.75">
      <c r="K182" s="173"/>
      <c r="L182" s="173"/>
    </row>
    <row r="183" spans="11:12" ht="18.75">
      <c r="K183" s="173"/>
      <c r="L183" s="173"/>
    </row>
    <row r="184" spans="11:12" ht="18.75">
      <c r="K184" s="173"/>
      <c r="L184" s="173"/>
    </row>
    <row r="185" spans="11:12" ht="18.75">
      <c r="K185" s="173"/>
      <c r="L185" s="173"/>
    </row>
    <row r="186" spans="11:12" ht="18.75">
      <c r="K186" s="173"/>
      <c r="L186" s="173"/>
    </row>
    <row r="187" spans="11:12" ht="18.75">
      <c r="K187" s="173"/>
      <c r="L187" s="173"/>
    </row>
    <row r="188" spans="11:12" ht="18.75">
      <c r="K188" s="173"/>
      <c r="L188" s="173"/>
    </row>
    <row r="189" spans="11:12" ht="18.75">
      <c r="K189" s="173"/>
      <c r="L189" s="173"/>
    </row>
    <row r="190" spans="11:12" ht="18.75">
      <c r="K190" s="173"/>
      <c r="L190" s="173"/>
    </row>
    <row r="191" spans="11:12" ht="18.75">
      <c r="K191" s="173"/>
      <c r="L191" s="173"/>
    </row>
    <row r="192" spans="11:12" ht="18.75">
      <c r="K192" s="173"/>
      <c r="L192" s="173"/>
    </row>
    <row r="193" spans="11:12" ht="18.75">
      <c r="K193" s="173"/>
      <c r="L193" s="173"/>
    </row>
    <row r="194" spans="11:12" ht="18.75">
      <c r="K194" s="173"/>
      <c r="L194" s="173"/>
    </row>
    <row r="195" spans="11:12" ht="18.75">
      <c r="K195" s="173"/>
      <c r="L195" s="173"/>
    </row>
    <row r="196" spans="11:12" ht="18.75">
      <c r="K196" s="173"/>
      <c r="L196" s="173"/>
    </row>
    <row r="197" spans="11:12" ht="18.75">
      <c r="K197" s="173"/>
      <c r="L197" s="173"/>
    </row>
    <row r="198" spans="11:12" ht="18.75">
      <c r="K198" s="173"/>
      <c r="L198" s="173"/>
    </row>
    <row r="199" spans="11:12" ht="18.75">
      <c r="K199" s="173"/>
      <c r="L199" s="173"/>
    </row>
    <row r="200" spans="11:12" ht="18.75">
      <c r="K200" s="173"/>
      <c r="L200" s="173"/>
    </row>
    <row r="201" spans="11:12" ht="18.75">
      <c r="K201" s="173"/>
      <c r="L201" s="173"/>
    </row>
    <row r="202" spans="11:12" ht="18.75">
      <c r="K202" s="173"/>
      <c r="L202" s="173"/>
    </row>
    <row r="203" spans="11:12" ht="18.75">
      <c r="K203" s="173"/>
      <c r="L203" s="173"/>
    </row>
    <row r="204" spans="11:12" ht="18.75">
      <c r="K204" s="173"/>
      <c r="L204" s="173"/>
    </row>
    <row r="205" spans="11:12" ht="18.75">
      <c r="K205" s="173"/>
      <c r="L205" s="173"/>
    </row>
    <row r="206" spans="11:12" ht="18.75">
      <c r="K206" s="173"/>
      <c r="L206" s="173"/>
    </row>
    <row r="207" spans="11:12" ht="18.75">
      <c r="K207" s="173"/>
      <c r="L207" s="173"/>
    </row>
    <row r="208" spans="11:12" ht="18.75">
      <c r="K208" s="173"/>
      <c r="L208" s="173"/>
    </row>
    <row r="209" spans="11:12" ht="18.75">
      <c r="K209" s="173"/>
      <c r="L209" s="173"/>
    </row>
    <row r="210" spans="11:12" ht="18.75">
      <c r="K210" s="173"/>
      <c r="L210" s="173"/>
    </row>
    <row r="211" spans="11:12" ht="18.75">
      <c r="K211" s="121"/>
      <c r="L211" s="121"/>
    </row>
    <row r="212" spans="11:12" ht="18.75">
      <c r="K212" s="121"/>
      <c r="L212" s="121"/>
    </row>
    <row r="213" spans="11:12" ht="18.75">
      <c r="K213" s="121"/>
      <c r="L213" s="121"/>
    </row>
    <row r="214" spans="11:12" ht="18.75">
      <c r="K214" s="121"/>
      <c r="L214" s="121"/>
    </row>
    <row r="215" spans="11:12" ht="18.75">
      <c r="K215" s="121"/>
      <c r="L215" s="121"/>
    </row>
    <row r="216" spans="11:12" ht="18.75">
      <c r="K216" s="121"/>
      <c r="L216" s="121"/>
    </row>
    <row r="217" spans="11:12" ht="18.75">
      <c r="K217" s="121"/>
      <c r="L217" s="121"/>
    </row>
    <row r="218" spans="11:12" ht="18.75">
      <c r="K218" s="121"/>
      <c r="L218" s="121"/>
    </row>
    <row r="219" spans="11:12" ht="18.75">
      <c r="K219" s="121"/>
      <c r="L219" s="121"/>
    </row>
    <row r="220" spans="11:12" ht="18.75">
      <c r="K220" s="121"/>
      <c r="L220" s="121"/>
    </row>
    <row r="221" spans="11:12" ht="18.75">
      <c r="K221" s="121"/>
      <c r="L221" s="121"/>
    </row>
    <row r="222" spans="11:12" ht="18.75">
      <c r="K222" s="121"/>
      <c r="L222" s="121"/>
    </row>
    <row r="223" spans="11:12" ht="18.75">
      <c r="K223" s="121"/>
      <c r="L223" s="121"/>
    </row>
    <row r="224" spans="11:12" ht="18.75">
      <c r="K224" s="121"/>
      <c r="L224" s="121"/>
    </row>
    <row r="225" spans="11:12" ht="18.75">
      <c r="K225" s="121"/>
      <c r="L225" s="121"/>
    </row>
    <row r="226" spans="11:12" ht="18.75">
      <c r="K226" s="121"/>
      <c r="L226" s="121"/>
    </row>
    <row r="227" spans="11:12" ht="18.75">
      <c r="K227" s="121"/>
      <c r="L227" s="121"/>
    </row>
    <row r="228" spans="11:12" ht="18.75">
      <c r="K228" s="121"/>
      <c r="L228" s="121"/>
    </row>
    <row r="229" spans="11:12" ht="18.75">
      <c r="K229" s="121"/>
      <c r="L229" s="121"/>
    </row>
    <row r="230" spans="11:12" ht="18.75">
      <c r="K230" s="121"/>
      <c r="L230" s="121"/>
    </row>
    <row r="231" spans="11:12" ht="18.75">
      <c r="K231" s="121"/>
      <c r="L231" s="121"/>
    </row>
    <row r="232" spans="11:12" ht="18.75">
      <c r="K232" s="121"/>
      <c r="L232" s="121"/>
    </row>
    <row r="233" spans="11:12" ht="18.75">
      <c r="K233" s="121"/>
      <c r="L233" s="121"/>
    </row>
    <row r="234" spans="11:12" ht="18.75">
      <c r="K234" s="121"/>
      <c r="L234" s="121"/>
    </row>
    <row r="235" spans="11:12" ht="18.75">
      <c r="K235" s="121"/>
      <c r="L235" s="121"/>
    </row>
    <row r="236" spans="11:12" ht="18.75">
      <c r="K236" s="121"/>
      <c r="L236" s="121"/>
    </row>
    <row r="237" spans="11:12" ht="18.75">
      <c r="K237" s="121"/>
      <c r="L237" s="121"/>
    </row>
    <row r="238" spans="11:12" ht="18.75">
      <c r="K238" s="121"/>
      <c r="L238" s="121"/>
    </row>
    <row r="239" spans="11:12" ht="18.75">
      <c r="K239" s="121"/>
      <c r="L239" s="121"/>
    </row>
    <row r="240" spans="11:12" ht="18.75">
      <c r="K240" s="121"/>
      <c r="L240" s="121"/>
    </row>
    <row r="241" spans="11:12" ht="18.75">
      <c r="K241" s="121"/>
      <c r="L241" s="121"/>
    </row>
    <row r="242" spans="11:12" ht="18.75">
      <c r="K242" s="121"/>
      <c r="L242" s="121"/>
    </row>
    <row r="243" spans="11:12" ht="18.75">
      <c r="K243" s="121"/>
      <c r="L243" s="121"/>
    </row>
    <row r="244" spans="11:12" ht="18.75">
      <c r="K244" s="121"/>
      <c r="L244" s="121"/>
    </row>
    <row r="245" spans="11:12" ht="18.75">
      <c r="K245" s="121"/>
      <c r="L245" s="121"/>
    </row>
    <row r="246" spans="11:12" ht="18.75">
      <c r="K246" s="121"/>
      <c r="L246" s="121"/>
    </row>
    <row r="247" spans="11:12" ht="18.75">
      <c r="K247" s="121"/>
      <c r="L247" s="121"/>
    </row>
    <row r="248" spans="11:12" ht="18.75">
      <c r="K248" s="121"/>
      <c r="L248" s="121"/>
    </row>
    <row r="249" spans="11:12" ht="18.75">
      <c r="K249" s="121"/>
      <c r="L249" s="121"/>
    </row>
    <row r="250" spans="11:12" ht="18.75">
      <c r="K250" s="121"/>
      <c r="L250" s="121"/>
    </row>
    <row r="251" spans="11:12" ht="18.75">
      <c r="K251" s="121"/>
      <c r="L251" s="121"/>
    </row>
    <row r="252" spans="11:12" ht="18.75">
      <c r="K252" s="121"/>
      <c r="L252" s="121"/>
    </row>
    <row r="253" spans="11:12" ht="18.75">
      <c r="K253" s="121"/>
      <c r="L253" s="121"/>
    </row>
    <row r="254" spans="11:12" ht="18.75">
      <c r="K254" s="121"/>
      <c r="L254" s="121"/>
    </row>
    <row r="255" spans="11:12" ht="18.75">
      <c r="K255" s="121"/>
      <c r="L255" s="121"/>
    </row>
    <row r="256" spans="11:12" ht="18.75">
      <c r="K256" s="121"/>
      <c r="L256" s="121"/>
    </row>
    <row r="257" spans="11:12" ht="18.75">
      <c r="K257" s="121"/>
      <c r="L257" s="121"/>
    </row>
    <row r="258" spans="11:12" ht="18.75">
      <c r="K258" s="121"/>
      <c r="L258" s="121"/>
    </row>
    <row r="259" spans="11:12" ht="18.75">
      <c r="K259" s="121"/>
      <c r="L259" s="121"/>
    </row>
    <row r="260" spans="11:12" ht="18.75">
      <c r="K260" s="121"/>
      <c r="L260" s="121"/>
    </row>
    <row r="261" spans="11:12" ht="18.75">
      <c r="K261" s="121"/>
      <c r="L261" s="121"/>
    </row>
    <row r="262" spans="11:12" ht="18.75">
      <c r="K262" s="174"/>
      <c r="L262" s="174"/>
    </row>
    <row r="263" spans="11:12" ht="18.75">
      <c r="K263" s="174"/>
      <c r="L263" s="174"/>
    </row>
    <row r="264" spans="11:12" ht="18.75">
      <c r="K264" s="121"/>
      <c r="L264" s="121"/>
    </row>
    <row r="265" spans="11:12" ht="18.75">
      <c r="K265" s="121"/>
      <c r="L265" s="121"/>
    </row>
    <row r="266" spans="11:12" ht="18.75">
      <c r="K266" s="121"/>
      <c r="L266" s="121"/>
    </row>
    <row r="267" spans="11:12" ht="18.75">
      <c r="K267" s="121"/>
      <c r="L267" s="121"/>
    </row>
    <row r="268" spans="11:12" ht="18.75">
      <c r="K268" s="121"/>
      <c r="L268" s="121"/>
    </row>
    <row r="269" spans="11:12" ht="18.75">
      <c r="K269" s="121"/>
      <c r="L269" s="121"/>
    </row>
    <row r="270" spans="11:12" ht="18.75">
      <c r="K270" s="121"/>
      <c r="L270" s="121"/>
    </row>
    <row r="271" spans="11:12" ht="18.75">
      <c r="K271" s="121"/>
      <c r="L271" s="121"/>
    </row>
    <row r="272" spans="11:12" ht="18.75">
      <c r="K272" s="174"/>
      <c r="L272" s="174"/>
    </row>
    <row r="273" spans="11:12" ht="18.75">
      <c r="K273" s="121"/>
      <c r="L273" s="121"/>
    </row>
    <row r="274" spans="11:12" ht="18.75">
      <c r="K274" s="121"/>
      <c r="L274" s="121"/>
    </row>
    <row r="275" spans="11:12" ht="18.75">
      <c r="K275" s="121"/>
      <c r="L275" s="121"/>
    </row>
    <row r="276" spans="11:12" ht="18.75">
      <c r="K276" s="121"/>
      <c r="L276" s="121"/>
    </row>
    <row r="277" spans="11:12" ht="18.75">
      <c r="K277" s="121"/>
      <c r="L277" s="121"/>
    </row>
    <row r="278" spans="11:12" ht="18.75">
      <c r="K278" s="121"/>
      <c r="L278" s="121"/>
    </row>
    <row r="279" spans="11:12" ht="18.75">
      <c r="K279" s="121"/>
      <c r="L279" s="121"/>
    </row>
    <row r="280" spans="11:12" ht="18.75">
      <c r="K280" s="121"/>
      <c r="L280" s="121"/>
    </row>
    <row r="281" spans="11:12" ht="18.75">
      <c r="K281" s="121"/>
      <c r="L281" s="121"/>
    </row>
    <row r="282" spans="11:12" ht="18.75">
      <c r="K282" s="121"/>
      <c r="L282" s="121"/>
    </row>
    <row r="283" spans="11:12" ht="18.75">
      <c r="K283" s="121"/>
      <c r="L283" s="121"/>
    </row>
    <row r="284" spans="11:12" ht="18.75">
      <c r="K284" s="121"/>
      <c r="L284" s="121"/>
    </row>
    <row r="285" spans="11:12" ht="18.75">
      <c r="K285" s="121"/>
      <c r="L285" s="121"/>
    </row>
    <row r="286" spans="11:12" ht="18.75">
      <c r="K286" s="121"/>
      <c r="L286" s="121"/>
    </row>
    <row r="287" spans="11:12" ht="18.75">
      <c r="K287" s="121"/>
      <c r="L287" s="121"/>
    </row>
    <row r="288" spans="11:12" ht="18.75">
      <c r="K288" s="121"/>
      <c r="L288" s="121"/>
    </row>
    <row r="289" spans="11:12" ht="18.75">
      <c r="K289" s="121"/>
      <c r="L289" s="121"/>
    </row>
    <row r="290" spans="11:12" ht="18.75">
      <c r="K290" s="121"/>
      <c r="L290" s="121"/>
    </row>
    <row r="291" spans="11:12" ht="18.75">
      <c r="K291" s="121"/>
      <c r="L291" s="121"/>
    </row>
    <row r="292" spans="11:12" ht="18.75">
      <c r="K292" s="121"/>
      <c r="L292" s="121"/>
    </row>
    <row r="293" spans="11:12" ht="18.75">
      <c r="K293" s="121"/>
      <c r="L293" s="121"/>
    </row>
    <row r="294" spans="11:12" ht="18.75">
      <c r="K294" s="121"/>
      <c r="L294" s="121"/>
    </row>
    <row r="295" spans="11:12" ht="18.75">
      <c r="K295" s="121"/>
      <c r="L295" s="121"/>
    </row>
    <row r="296" spans="11:12" ht="18.75">
      <c r="K296" s="121"/>
      <c r="L296" s="121"/>
    </row>
    <row r="297" spans="11:12" ht="18.75">
      <c r="K297" s="121"/>
      <c r="L297" s="121"/>
    </row>
    <row r="298" spans="11:12" ht="18.75">
      <c r="K298" s="121"/>
      <c r="L298" s="121"/>
    </row>
    <row r="299" spans="11:12" ht="18.75">
      <c r="K299" s="121"/>
      <c r="L299" s="121"/>
    </row>
    <row r="300" spans="11:12" ht="18.75">
      <c r="K300" s="121"/>
      <c r="L300" s="121"/>
    </row>
    <row r="301" spans="11:12" ht="18.75">
      <c r="K301" s="121"/>
      <c r="L301" s="121"/>
    </row>
    <row r="302" spans="11:12" ht="18.75">
      <c r="K302" s="174"/>
      <c r="L302" s="174"/>
    </row>
    <row r="303" spans="11:12" ht="18.75">
      <c r="K303" s="174"/>
      <c r="L303" s="174"/>
    </row>
    <row r="304" spans="11:12" ht="18.75">
      <c r="K304" s="121"/>
      <c r="L304" s="121"/>
    </row>
    <row r="305" spans="11:12" ht="18.75">
      <c r="K305" s="121"/>
      <c r="L305" s="121"/>
    </row>
    <row r="306" spans="11:12" ht="18.75">
      <c r="K306" s="121"/>
      <c r="L306" s="121"/>
    </row>
    <row r="307" spans="11:12" ht="18.75">
      <c r="K307" s="121"/>
      <c r="L307" s="121"/>
    </row>
    <row r="308" spans="11:12" ht="18.75">
      <c r="K308" s="174"/>
      <c r="L308" s="174"/>
    </row>
    <row r="309" spans="11:12" ht="18.75">
      <c r="K309" s="121"/>
      <c r="L309" s="121"/>
    </row>
    <row r="310" spans="11:12" ht="18.75">
      <c r="K310" s="121"/>
      <c r="L310" s="121"/>
    </row>
    <row r="311" spans="11:12" ht="18.75">
      <c r="K311" s="121"/>
      <c r="L311" s="121"/>
    </row>
    <row r="312" spans="11:12" ht="18.75">
      <c r="K312" s="121"/>
      <c r="L312" s="121"/>
    </row>
    <row r="313" spans="11:12" ht="18.75">
      <c r="K313" s="121"/>
      <c r="L313" s="121"/>
    </row>
    <row r="314" spans="11:12" ht="18.75">
      <c r="K314" s="121"/>
      <c r="L314" s="121"/>
    </row>
    <row r="315" spans="11:12" ht="18.75">
      <c r="K315" s="121"/>
      <c r="L315" s="121"/>
    </row>
    <row r="316" spans="11:12" ht="18.75">
      <c r="K316" s="121"/>
      <c r="L316" s="121"/>
    </row>
    <row r="317" spans="11:12" ht="18.75">
      <c r="K317" s="121"/>
      <c r="L317" s="121"/>
    </row>
    <row r="318" spans="11:12" ht="18.75">
      <c r="K318" s="121"/>
      <c r="L318" s="121"/>
    </row>
    <row r="319" spans="11:12" ht="18.75">
      <c r="K319" s="121"/>
      <c r="L319" s="121"/>
    </row>
    <row r="320" spans="11:12" ht="18.75">
      <c r="K320" s="121"/>
      <c r="L320" s="121"/>
    </row>
    <row r="321" spans="11:12" ht="18.75">
      <c r="K321" s="121"/>
      <c r="L321" s="121"/>
    </row>
    <row r="322" spans="11:12" ht="18.75">
      <c r="K322" s="121"/>
      <c r="L322" s="121"/>
    </row>
    <row r="323" spans="11:12" ht="18.75">
      <c r="K323" s="121"/>
      <c r="L323" s="121"/>
    </row>
    <row r="324" spans="11:12" ht="18.75">
      <c r="K324" s="121"/>
      <c r="L324" s="121"/>
    </row>
    <row r="325" spans="11:12" ht="18.75">
      <c r="K325" s="121"/>
      <c r="L325" s="121"/>
    </row>
    <row r="326" spans="11:12" ht="18.75">
      <c r="K326" s="121"/>
      <c r="L326" s="121"/>
    </row>
    <row r="327" spans="11:12" ht="18.75">
      <c r="K327" s="121"/>
      <c r="L327" s="121"/>
    </row>
    <row r="328" spans="11:12" ht="18.75">
      <c r="K328" s="121"/>
      <c r="L328" s="121"/>
    </row>
    <row r="329" spans="11:12" ht="18.75">
      <c r="K329" s="121"/>
      <c r="L329" s="121"/>
    </row>
    <row r="330" spans="11:12" ht="18.75">
      <c r="K330" s="121"/>
      <c r="L330" s="121"/>
    </row>
    <row r="331" spans="11:12" ht="18.75">
      <c r="K331" s="121"/>
      <c r="L331" s="121"/>
    </row>
    <row r="332" spans="11:12" ht="18.75">
      <c r="K332" s="121"/>
      <c r="L332" s="121"/>
    </row>
    <row r="333" spans="11:12" ht="18.75">
      <c r="K333" s="121"/>
      <c r="L333" s="121"/>
    </row>
    <row r="334" spans="11:12" ht="18.75">
      <c r="K334" s="121"/>
      <c r="L334" s="121"/>
    </row>
    <row r="335" spans="11:12" ht="18.75">
      <c r="K335" s="121"/>
      <c r="L335" s="121"/>
    </row>
    <row r="336" spans="11:12" ht="18.75">
      <c r="K336" s="121"/>
      <c r="L336" s="121"/>
    </row>
    <row r="337" spans="11:12" ht="18.75">
      <c r="K337" s="121"/>
      <c r="L337" s="121"/>
    </row>
    <row r="338" spans="11:12" ht="18.75">
      <c r="K338" s="121"/>
      <c r="L338" s="121"/>
    </row>
    <row r="339" spans="11:12" ht="18.75">
      <c r="K339" s="121"/>
      <c r="L339" s="121"/>
    </row>
    <row r="340" spans="11:12" ht="18.75">
      <c r="K340" s="121"/>
      <c r="L340" s="121"/>
    </row>
    <row r="341" spans="11:12" ht="18.75">
      <c r="K341" s="121"/>
      <c r="L341" s="121"/>
    </row>
    <row r="342" spans="11:12" ht="18.75">
      <c r="K342" s="121"/>
      <c r="L342" s="121"/>
    </row>
    <row r="343" spans="11:12" ht="18.75">
      <c r="K343" s="121"/>
      <c r="L343" s="121"/>
    </row>
    <row r="344" spans="11:12" ht="18.75">
      <c r="K344" s="121"/>
      <c r="L344" s="121"/>
    </row>
    <row r="345" spans="11:12" ht="18.75">
      <c r="K345" s="121"/>
      <c r="L345" s="121"/>
    </row>
    <row r="346" spans="11:12" ht="18.75">
      <c r="K346" s="121"/>
      <c r="L346" s="121"/>
    </row>
    <row r="347" spans="11:12" ht="18.75">
      <c r="K347" s="121"/>
      <c r="L347" s="121"/>
    </row>
    <row r="348" spans="11:12" ht="18.75">
      <c r="K348" s="121"/>
      <c r="L348" s="121"/>
    </row>
    <row r="349" spans="11:12" ht="18.75">
      <c r="K349" s="121"/>
      <c r="L349" s="121"/>
    </row>
    <row r="350" spans="11:12" ht="18.75">
      <c r="K350" s="121"/>
      <c r="L350" s="121"/>
    </row>
    <row r="351" spans="11:12" ht="18.75">
      <c r="K351" s="121"/>
      <c r="L351" s="121"/>
    </row>
    <row r="352" spans="11:12" ht="18.75">
      <c r="K352" s="121"/>
      <c r="L352" s="121"/>
    </row>
    <row r="353" spans="11:12" ht="18.75">
      <c r="K353" s="121"/>
      <c r="L353" s="121"/>
    </row>
    <row r="354" spans="11:12" ht="18.75">
      <c r="K354" s="121"/>
      <c r="L354" s="121"/>
    </row>
    <row r="355" spans="11:12" ht="18.75">
      <c r="K355" s="121"/>
      <c r="L355" s="121"/>
    </row>
    <row r="356" spans="11:12" ht="18.75">
      <c r="K356" s="121"/>
      <c r="L356" s="121"/>
    </row>
    <row r="357" spans="11:12" ht="18.75">
      <c r="K357" s="121"/>
      <c r="L357" s="121"/>
    </row>
    <row r="358" spans="11:12" ht="18.75">
      <c r="K358" s="121"/>
      <c r="L358" s="121"/>
    </row>
    <row r="359" spans="11:12" ht="18.75">
      <c r="K359" s="121"/>
      <c r="L359" s="121"/>
    </row>
    <row r="360" spans="11:12" ht="18.75">
      <c r="K360" s="121"/>
      <c r="L360" s="121"/>
    </row>
    <row r="361" spans="11:12" ht="18.75">
      <c r="K361" s="121"/>
      <c r="L361" s="121"/>
    </row>
    <row r="362" spans="11:12" ht="18.75">
      <c r="K362" s="121"/>
      <c r="L362" s="121"/>
    </row>
    <row r="363" spans="11:12" ht="18.75">
      <c r="K363" s="121"/>
      <c r="L363" s="121"/>
    </row>
    <row r="364" spans="11:12" ht="18.75">
      <c r="K364" s="121"/>
      <c r="L364" s="121"/>
    </row>
    <row r="365" spans="11:12" ht="18.75">
      <c r="K365" s="174"/>
      <c r="L365" s="174"/>
    </row>
    <row r="366" spans="11:12" ht="18.75">
      <c r="K366" s="121"/>
      <c r="L366" s="121"/>
    </row>
    <row r="367" spans="11:12" ht="18.75">
      <c r="K367" s="174"/>
      <c r="L367" s="174"/>
    </row>
    <row r="368" spans="11:12" ht="18.75">
      <c r="K368" s="121"/>
      <c r="L368" s="121"/>
    </row>
    <row r="369" spans="11:12" ht="18.75">
      <c r="K369" s="174"/>
      <c r="L369" s="174"/>
    </row>
    <row r="370" spans="11:12" ht="18.75">
      <c r="K370" s="174"/>
      <c r="L370" s="174"/>
    </row>
    <row r="371" spans="11:12" ht="18.75">
      <c r="K371" s="121"/>
      <c r="L371" s="121"/>
    </row>
    <row r="372" spans="11:12" ht="18.75">
      <c r="K372" s="121"/>
      <c r="L372" s="121"/>
    </row>
    <row r="373" spans="11:12" ht="18.75">
      <c r="K373" s="174"/>
      <c r="L373" s="174"/>
    </row>
    <row r="374" spans="11:12" ht="18.75">
      <c r="K374" s="121"/>
      <c r="L374" s="121"/>
    </row>
    <row r="375" spans="11:12" ht="18.75">
      <c r="K375" s="174"/>
      <c r="L375" s="174"/>
    </row>
    <row r="376" spans="11:12" ht="18.75">
      <c r="K376" s="121"/>
      <c r="L376" s="121"/>
    </row>
    <row r="377" spans="11:12" ht="18.75">
      <c r="K377" s="121"/>
      <c r="L377" s="121"/>
    </row>
    <row r="378" spans="11:12" ht="18.75">
      <c r="K378" s="121"/>
      <c r="L378" s="121"/>
    </row>
    <row r="379" spans="11:12" ht="18.75">
      <c r="K379" s="121"/>
      <c r="L379" s="121"/>
    </row>
    <row r="380" spans="11:12" ht="18.75">
      <c r="K380" s="121"/>
      <c r="L380" s="121"/>
    </row>
    <row r="381" spans="11:12" ht="18.75">
      <c r="K381" s="121"/>
      <c r="L381" s="121"/>
    </row>
    <row r="382" spans="11:12" ht="18.75">
      <c r="K382" s="121"/>
      <c r="L382" s="121"/>
    </row>
    <row r="383" spans="11:12" ht="18.75">
      <c r="K383" s="121"/>
      <c r="L383" s="121"/>
    </row>
    <row r="384" spans="11:12" ht="18.75">
      <c r="K384" s="121"/>
      <c r="L384" s="121"/>
    </row>
    <row r="385" spans="11:12" ht="18.75">
      <c r="K385" s="121"/>
      <c r="L385" s="121"/>
    </row>
    <row r="386" spans="11:12" ht="18.75">
      <c r="K386" s="121"/>
      <c r="L386" s="121"/>
    </row>
    <row r="387" spans="11:12" ht="18.75">
      <c r="K387" s="121"/>
      <c r="L387" s="121"/>
    </row>
    <row r="388" spans="11:12" ht="18.75">
      <c r="K388" s="121"/>
      <c r="L388" s="121"/>
    </row>
    <row r="389" spans="11:12" ht="18.75">
      <c r="K389" s="121"/>
      <c r="L389" s="121"/>
    </row>
    <row r="390" spans="11:12" ht="18.75">
      <c r="K390" s="121"/>
      <c r="L390" s="121"/>
    </row>
    <row r="391" spans="11:12" ht="18.75">
      <c r="K391" s="121"/>
      <c r="L391" s="121"/>
    </row>
    <row r="392" spans="11:12" ht="18.75">
      <c r="K392" s="121"/>
      <c r="L392" s="121"/>
    </row>
    <row r="393" spans="11:12" ht="18.75">
      <c r="K393" s="121"/>
      <c r="L393" s="121"/>
    </row>
    <row r="394" spans="11:12" ht="18.75">
      <c r="K394" s="121"/>
      <c r="L394" s="121"/>
    </row>
    <row r="395" spans="11:12" ht="18.75">
      <c r="K395" s="121"/>
      <c r="L395" s="121"/>
    </row>
    <row r="396" spans="11:12" ht="18.75">
      <c r="K396" s="121"/>
      <c r="L396" s="121"/>
    </row>
    <row r="397" spans="11:12" ht="18.75">
      <c r="K397" s="121"/>
      <c r="L397" s="121"/>
    </row>
    <row r="398" spans="11:12" ht="18.75">
      <c r="K398" s="121"/>
      <c r="L398" s="121"/>
    </row>
    <row r="399" spans="11:12" ht="18.75">
      <c r="K399" s="121"/>
      <c r="L399" s="121"/>
    </row>
    <row r="400" spans="11:12" ht="18.75">
      <c r="K400" s="121"/>
      <c r="L400" s="121"/>
    </row>
    <row r="401" spans="11:12" ht="18.75">
      <c r="K401" s="121"/>
      <c r="L401" s="121"/>
    </row>
    <row r="402" spans="11:12" ht="18.75">
      <c r="K402" s="174"/>
      <c r="L402" s="174"/>
    </row>
    <row r="403" spans="11:12" ht="18.75">
      <c r="K403" s="121"/>
      <c r="L403" s="121"/>
    </row>
    <row r="404" spans="11:12" ht="18.75">
      <c r="K404" s="121"/>
      <c r="L404" s="121"/>
    </row>
    <row r="405" spans="11:12" ht="18.75">
      <c r="K405" s="121"/>
      <c r="L405" s="121"/>
    </row>
    <row r="406" spans="11:12" ht="18.75">
      <c r="K406" s="121"/>
      <c r="L406" s="121"/>
    </row>
    <row r="407" spans="11:12" ht="18.75">
      <c r="K407" s="121"/>
      <c r="L407" s="121"/>
    </row>
    <row r="408" spans="11:12" ht="18.75">
      <c r="K408" s="121"/>
      <c r="L408" s="121"/>
    </row>
    <row r="409" spans="11:12" ht="18.75">
      <c r="K409" s="121"/>
      <c r="L409" s="121"/>
    </row>
    <row r="410" spans="11:12" ht="18.75">
      <c r="K410" s="121"/>
      <c r="L410" s="121"/>
    </row>
    <row r="411" spans="11:12" ht="18.75">
      <c r="K411" s="121"/>
      <c r="L411" s="121"/>
    </row>
    <row r="412" spans="11:12" ht="18.75">
      <c r="K412" s="121"/>
      <c r="L412" s="121"/>
    </row>
    <row r="413" spans="11:12" ht="18.75">
      <c r="K413" s="121"/>
      <c r="L413" s="121"/>
    </row>
    <row r="414" spans="11:12" ht="18.75">
      <c r="K414" s="121"/>
      <c r="L414" s="121"/>
    </row>
    <row r="415" spans="11:12" ht="18.75">
      <c r="K415" s="121"/>
      <c r="L415" s="121"/>
    </row>
    <row r="416" spans="11:12" ht="18.75">
      <c r="K416" s="121"/>
      <c r="L416" s="121"/>
    </row>
    <row r="417" spans="11:12" ht="18.75">
      <c r="K417" s="121"/>
      <c r="L417" s="121"/>
    </row>
    <row r="418" spans="11:12" ht="18.75">
      <c r="K418" s="121"/>
      <c r="L418" s="121"/>
    </row>
    <row r="419" spans="11:12" ht="18.75">
      <c r="K419" s="121"/>
      <c r="L419" s="121"/>
    </row>
    <row r="420" spans="11:12" ht="18.75">
      <c r="K420" s="121"/>
      <c r="L420" s="121"/>
    </row>
    <row r="421" spans="11:12" ht="18.75">
      <c r="K421" s="121"/>
      <c r="L421" s="121"/>
    </row>
    <row r="422" spans="11:12" ht="18.75">
      <c r="K422" s="121"/>
      <c r="L422" s="121"/>
    </row>
    <row r="423" spans="11:12" ht="18.75">
      <c r="K423" s="121"/>
      <c r="L423" s="121"/>
    </row>
    <row r="424" spans="11:12" ht="18.75">
      <c r="K424" s="121"/>
      <c r="L424" s="121"/>
    </row>
    <row r="425" spans="11:12" ht="18.75">
      <c r="K425" s="121"/>
      <c r="L425" s="121"/>
    </row>
    <row r="426" spans="11:12" ht="18.75">
      <c r="K426" s="121"/>
      <c r="L426" s="121"/>
    </row>
    <row r="427" spans="11:12" ht="18.75">
      <c r="K427" s="121"/>
      <c r="L427" s="121"/>
    </row>
    <row r="428" spans="11:12" ht="18.75">
      <c r="K428" s="121"/>
      <c r="L428" s="121"/>
    </row>
    <row r="429" spans="11:12" ht="18.75">
      <c r="K429" s="121"/>
      <c r="L429" s="121"/>
    </row>
    <row r="430" spans="11:12" ht="18.75">
      <c r="K430" s="174"/>
      <c r="L430" s="174"/>
    </row>
    <row r="431" spans="11:12" ht="18.75">
      <c r="K431" s="121"/>
      <c r="L431" s="121"/>
    </row>
    <row r="432" spans="11:12" ht="18.75">
      <c r="K432" s="121"/>
      <c r="L432" s="121"/>
    </row>
    <row r="433" spans="11:12" ht="18.75">
      <c r="K433" s="121"/>
      <c r="L433" s="121"/>
    </row>
    <row r="434" spans="11:12" ht="18.75">
      <c r="K434" s="121"/>
      <c r="L434" s="121"/>
    </row>
    <row r="435" spans="11:12" ht="18.75">
      <c r="K435" s="121"/>
      <c r="L435" s="121"/>
    </row>
    <row r="436" spans="11:12" ht="18.75">
      <c r="K436" s="121"/>
      <c r="L436" s="121"/>
    </row>
    <row r="437" spans="11:12" ht="18.75">
      <c r="K437" s="121"/>
      <c r="L437" s="121"/>
    </row>
    <row r="438" spans="11:12" ht="18.75">
      <c r="K438" s="174"/>
      <c r="L438" s="174"/>
    </row>
    <row r="439" spans="11:12" ht="18.75">
      <c r="K439" s="121"/>
      <c r="L439" s="121"/>
    </row>
    <row r="440" spans="11:12" ht="18.75">
      <c r="K440" s="121"/>
      <c r="L440" s="121"/>
    </row>
    <row r="441" spans="11:12" ht="18.75">
      <c r="K441" s="121"/>
      <c r="L441" s="121"/>
    </row>
    <row r="442" spans="11:12" ht="18.75">
      <c r="K442" s="121"/>
      <c r="L442" s="121"/>
    </row>
    <row r="443" spans="11:12" ht="18.75">
      <c r="K443" s="121"/>
      <c r="L443" s="121"/>
    </row>
    <row r="444" spans="11:12" ht="18.75">
      <c r="K444" s="121"/>
      <c r="L444" s="121"/>
    </row>
    <row r="445" spans="11:12" ht="18.75">
      <c r="K445" s="121"/>
      <c r="L445" s="121"/>
    </row>
    <row r="446" spans="11:12" ht="18.75">
      <c r="K446" s="121"/>
      <c r="L446" s="121"/>
    </row>
    <row r="447" spans="11:12" ht="18.75">
      <c r="K447" s="121"/>
      <c r="L447" s="121"/>
    </row>
    <row r="448" spans="11:12" ht="18.75">
      <c r="K448" s="121"/>
      <c r="L448" s="121"/>
    </row>
    <row r="449" spans="11:12" ht="18.75">
      <c r="K449" s="121"/>
      <c r="L449" s="121"/>
    </row>
    <row r="450" spans="11:12" ht="18.75">
      <c r="K450" s="121"/>
      <c r="L450" s="121"/>
    </row>
    <row r="451" spans="11:12" ht="18.75">
      <c r="K451" s="121"/>
      <c r="L451" s="121"/>
    </row>
    <row r="452" spans="11:12" ht="18.75">
      <c r="K452" s="121"/>
      <c r="L452" s="121"/>
    </row>
    <row r="453" spans="11:12" ht="18.75">
      <c r="K453" s="121"/>
      <c r="L453" s="121"/>
    </row>
    <row r="454" spans="11:12" ht="18.75">
      <c r="K454" s="121"/>
      <c r="L454" s="121"/>
    </row>
    <row r="455" spans="11:12" ht="18.75">
      <c r="K455" s="121"/>
      <c r="L455" s="121"/>
    </row>
    <row r="456" spans="11:12" ht="18.75">
      <c r="K456" s="121"/>
      <c r="L456" s="121"/>
    </row>
    <row r="457" spans="11:12" ht="18.75">
      <c r="K457" s="121"/>
      <c r="L457" s="121"/>
    </row>
    <row r="458" spans="11:12" ht="18.75">
      <c r="K458" s="121"/>
      <c r="L458" s="121"/>
    </row>
    <row r="459" spans="11:12" ht="18.75">
      <c r="K459" s="121"/>
      <c r="L459" s="121"/>
    </row>
    <row r="460" spans="11:12" ht="18.75">
      <c r="K460" s="121"/>
      <c r="L460" s="121"/>
    </row>
    <row r="461" spans="11:12" ht="18.75">
      <c r="K461" s="121"/>
      <c r="L461" s="121"/>
    </row>
    <row r="462" spans="11:12" ht="18.75">
      <c r="K462" s="121"/>
      <c r="L462" s="121"/>
    </row>
    <row r="463" spans="11:12" ht="18.75">
      <c r="K463" s="121"/>
      <c r="L463" s="121"/>
    </row>
    <row r="464" spans="11:12" ht="18.75">
      <c r="K464" s="121"/>
      <c r="L464" s="121"/>
    </row>
    <row r="465" spans="11:12" ht="18.75">
      <c r="K465" s="121"/>
      <c r="L465" s="121"/>
    </row>
    <row r="466" spans="11:12" ht="18.75">
      <c r="K466" s="174"/>
      <c r="L466" s="174"/>
    </row>
    <row r="467" spans="11:12" ht="18.75">
      <c r="K467" s="121"/>
      <c r="L467" s="121"/>
    </row>
    <row r="468" spans="11:12" ht="18.75">
      <c r="K468" s="121"/>
      <c r="L468" s="121"/>
    </row>
    <row r="469" spans="11:12" ht="18.75">
      <c r="K469" s="121"/>
      <c r="L469" s="121"/>
    </row>
    <row r="470" spans="11:12" ht="18.75">
      <c r="K470" s="121"/>
      <c r="L470" s="121"/>
    </row>
    <row r="471" spans="11:12" ht="18.75">
      <c r="K471" s="121"/>
      <c r="L471" s="121"/>
    </row>
    <row r="472" spans="11:12" ht="18.75">
      <c r="K472" s="121"/>
      <c r="L472" s="121"/>
    </row>
    <row r="473" spans="11:12" ht="18.75">
      <c r="K473" s="121"/>
      <c r="L473" s="121"/>
    </row>
    <row r="474" spans="11:12" ht="18.75">
      <c r="K474" s="174"/>
      <c r="L474" s="174"/>
    </row>
    <row r="475" spans="11:12" ht="18.75">
      <c r="K475" s="121"/>
      <c r="L475" s="121"/>
    </row>
    <row r="476" spans="11:12" ht="18.75">
      <c r="K476" s="121"/>
      <c r="L476" s="121"/>
    </row>
    <row r="477" spans="11:12" ht="18.75">
      <c r="K477" s="121"/>
      <c r="L477" s="121"/>
    </row>
    <row r="478" spans="11:12" ht="18.75">
      <c r="K478" s="121"/>
      <c r="L478" s="121"/>
    </row>
    <row r="479" spans="11:12" ht="18.75">
      <c r="K479" s="121"/>
      <c r="L479" s="121"/>
    </row>
    <row r="480" spans="11:12" ht="18.75">
      <c r="K480" s="121"/>
      <c r="L480" s="121"/>
    </row>
    <row r="481" spans="11:12" ht="18.75">
      <c r="K481" s="121"/>
      <c r="L481" s="121"/>
    </row>
    <row r="482" spans="11:12" ht="18.75">
      <c r="K482" s="121"/>
      <c r="L482" s="121"/>
    </row>
    <row r="483" spans="11:12" ht="18.75">
      <c r="K483" s="121"/>
      <c r="L483" s="121"/>
    </row>
    <row r="484" spans="11:12" ht="18.75">
      <c r="K484" s="121"/>
      <c r="L484" s="121"/>
    </row>
    <row r="485" spans="11:12" ht="18.75">
      <c r="K485" s="121"/>
      <c r="L485" s="121"/>
    </row>
    <row r="486" spans="11:12" ht="18.75">
      <c r="K486" s="121"/>
      <c r="L486" s="121"/>
    </row>
    <row r="487" spans="11:12" ht="18.75">
      <c r="K487" s="121"/>
      <c r="L487" s="121"/>
    </row>
    <row r="488" spans="11:12" ht="18.75">
      <c r="K488" s="121"/>
      <c r="L488" s="121"/>
    </row>
    <row r="489" spans="11:12" ht="18.75">
      <c r="K489" s="121"/>
      <c r="L489" s="121"/>
    </row>
    <row r="490" spans="11:12" ht="18.75">
      <c r="K490" s="121"/>
      <c r="L490" s="121"/>
    </row>
    <row r="491" spans="11:12" ht="18.75">
      <c r="K491" s="121"/>
      <c r="L491" s="121"/>
    </row>
    <row r="492" spans="11:12" ht="18.75">
      <c r="K492" s="121"/>
      <c r="L492" s="121"/>
    </row>
    <row r="493" spans="11:12" ht="18.75">
      <c r="K493" s="121"/>
      <c r="L493" s="121"/>
    </row>
    <row r="494" spans="11:12" ht="18.75">
      <c r="K494" s="121"/>
      <c r="L494" s="121"/>
    </row>
    <row r="495" spans="11:12" ht="18.75">
      <c r="K495" s="121"/>
      <c r="L495" s="121"/>
    </row>
    <row r="496" spans="11:12" ht="18.75">
      <c r="K496" s="121"/>
      <c r="L496" s="121"/>
    </row>
    <row r="497" spans="11:12" ht="18.75">
      <c r="K497" s="121"/>
      <c r="L497" s="121"/>
    </row>
    <row r="498" spans="11:12" ht="18.75">
      <c r="K498" s="121"/>
      <c r="L498" s="121"/>
    </row>
    <row r="499" spans="11:12" ht="18.75">
      <c r="K499" s="121"/>
      <c r="L499" s="121"/>
    </row>
    <row r="500" spans="11:12" ht="18.75">
      <c r="K500" s="121"/>
      <c r="L500" s="121"/>
    </row>
    <row r="501" spans="11:12" ht="18.75">
      <c r="K501" s="121"/>
      <c r="L501" s="121"/>
    </row>
    <row r="502" spans="11:12" ht="18.75">
      <c r="K502" s="121"/>
      <c r="L502" s="121"/>
    </row>
    <row r="503" spans="11:12" ht="18.75">
      <c r="K503" s="121"/>
      <c r="L503" s="121"/>
    </row>
    <row r="504" spans="11:12" ht="18.75">
      <c r="K504" s="121"/>
      <c r="L504" s="121"/>
    </row>
    <row r="505" spans="11:12" ht="18.75">
      <c r="K505" s="121"/>
      <c r="L505" s="121"/>
    </row>
    <row r="506" spans="11:12" ht="18.75">
      <c r="K506" s="121"/>
      <c r="L506" s="121"/>
    </row>
    <row r="507" spans="11:12" ht="18.75">
      <c r="K507" s="121"/>
      <c r="L507" s="121"/>
    </row>
    <row r="508" spans="11:12" ht="18.75">
      <c r="K508" s="121"/>
      <c r="L508" s="121"/>
    </row>
    <row r="509" spans="11:12" ht="18.75">
      <c r="K509" s="121"/>
      <c r="L509" s="121"/>
    </row>
    <row r="510" spans="11:12" ht="18.75">
      <c r="K510" s="121"/>
      <c r="L510" s="121"/>
    </row>
    <row r="511" spans="11:12" ht="18.75">
      <c r="K511" s="121"/>
      <c r="L511" s="121"/>
    </row>
    <row r="512" spans="11:12" ht="18.75">
      <c r="K512" s="121"/>
      <c r="L512" s="121"/>
    </row>
    <row r="513" spans="1:12" ht="18.75">
      <c r="K513" s="121"/>
      <c r="L513" s="121"/>
    </row>
    <row r="514" spans="1:12" ht="18.75">
      <c r="A514" s="121"/>
      <c r="B514" s="121"/>
      <c r="C514" s="121"/>
      <c r="D514" s="121"/>
      <c r="E514" s="121"/>
      <c r="F514" s="122"/>
      <c r="G514" s="121"/>
      <c r="H514" s="121"/>
      <c r="I514" s="121"/>
      <c r="J514" s="121"/>
      <c r="K514" s="121"/>
      <c r="L514" s="121"/>
    </row>
  </sheetData>
  <customSheetViews>
    <customSheetView guid="{CA0FB9E2-E541-4C74-BCFE-D75491869B36}" scale="75" showPageBreaks="1" view="pageBreakPreview">
      <selection activeCell="A18" sqref="A18:J18"/>
      <pageMargins left="0.78740157480314965" right="0.39370078740157483" top="0.59055118110236227" bottom="0.59055118110236227" header="0.51181102362204722" footer="0.51181102362204722"/>
      <pageSetup paperSize="9" scale="80" orientation="portrait" horizontalDpi="4294967295" verticalDpi="4294967295" r:id="rId1"/>
      <headerFooter alignWithMargins="0"/>
    </customSheetView>
    <customSheetView guid="{F10E3D8B-5892-420A-B023-68C6496D556B}" scale="75" showPageBreaks="1" view="pageBreakPreview" topLeftCell="A4">
      <selection activeCell="A3" sqref="A3:J3"/>
      <pageMargins left="0.78740157480314965" right="0.39370078740157483" top="0.59055118110236227" bottom="0.59055118110236227" header="0.51181102362204722" footer="0.51181102362204722"/>
      <pageSetup paperSize="9" scale="80" orientation="portrait" horizontalDpi="4294967295" verticalDpi="4294967295" r:id="rId2"/>
      <headerFooter alignWithMargins="0"/>
    </customSheetView>
    <customSheetView guid="{FE7E58EF-FECC-4DF6-BB75-BA97138CB219}" scale="75" showPageBreaks="1" view="pageBreakPreview" topLeftCell="A4">
      <selection activeCell="A3" sqref="A3:J3"/>
      <pageMargins left="0.78740157480314965" right="0.39370078740157483" top="0.59055118110236227" bottom="0.59055118110236227" header="0.51181102362204722" footer="0.51181102362204722"/>
      <pageSetup paperSize="9" scale="80" orientation="portrait" horizontalDpi="4294967295" verticalDpi="4294967295" r:id="rId3"/>
      <headerFooter alignWithMargins="0"/>
    </customSheetView>
    <customSheetView guid="{43136B00-66C6-4289-99D3-5EF20611F834}" scale="75" showPageBreaks="1" view="pageBreakPreview">
      <selection activeCell="A18" sqref="A18:J18"/>
      <pageMargins left="0.78740157480314965" right="0.39370078740157483" top="0.59055118110236227" bottom="0.59055118110236227" header="0.51181102362204722" footer="0.51181102362204722"/>
      <pageSetup paperSize="9" scale="80" orientation="portrait" horizontalDpi="4294967295" verticalDpi="4294967295" r:id="rId4"/>
      <headerFooter alignWithMargins="0"/>
    </customSheetView>
    <customSheetView guid="{22820B9F-10DE-4629-AF3D-4AF98A9BCEDB}" scale="75" showPageBreaks="1" view="pageBreakPreview">
      <selection activeCell="A18" sqref="A18:J18"/>
      <pageMargins left="0.78740157480314965" right="0.39370078740157483" top="0.59055118110236227" bottom="0.59055118110236227" header="0.51181102362204722" footer="0.51181102362204722"/>
      <pageSetup paperSize="9" scale="80" orientation="portrait" horizontalDpi="4294967295" verticalDpi="4294967295" r:id="rId5"/>
      <headerFooter alignWithMargins="0"/>
    </customSheetView>
  </customSheetViews>
  <mergeCells count="14">
    <mergeCell ref="A9:J9"/>
    <mergeCell ref="A10:J10"/>
    <mergeCell ref="A19:J19"/>
    <mergeCell ref="A21:J21"/>
    <mergeCell ref="A17:J17"/>
    <mergeCell ref="A11:J11"/>
    <mergeCell ref="A13:J13"/>
    <mergeCell ref="A15:J15"/>
    <mergeCell ref="A1:J1"/>
    <mergeCell ref="A3:J3"/>
    <mergeCell ref="A5:J6"/>
    <mergeCell ref="A8:J8"/>
    <mergeCell ref="A4:J4"/>
    <mergeCell ref="A7:J7"/>
  </mergeCells>
  <phoneticPr fontId="116" type="noConversion"/>
  <pageMargins left="0.78740157480314965" right="0.39370078740157483" top="0.59055118110236227" bottom="0.59055118110236227" header="0.51181102362204722" footer="0.51181102362204722"/>
  <pageSetup paperSize="9" scale="80" orientation="portrait" r:id="rId6"/>
  <headerFooter alignWithMargins="0"/>
</worksheet>
</file>

<file path=xl/worksheets/sheet50.xml><?xml version="1.0" encoding="utf-8"?>
<worksheet xmlns="http://schemas.openxmlformats.org/spreadsheetml/2006/main" xmlns:r="http://schemas.openxmlformats.org/officeDocument/2006/relationships">
  <sheetPr>
    <tabColor rgb="FF00B050"/>
    <pageSetUpPr fitToPage="1"/>
  </sheetPr>
  <dimension ref="A1:I49"/>
  <sheetViews>
    <sheetView view="pageBreakPreview" topLeftCell="A31" zoomScale="98" zoomScaleNormal="100" zoomScaleSheetLayoutView="98" workbookViewId="0">
      <selection activeCell="F12" sqref="F12"/>
    </sheetView>
  </sheetViews>
  <sheetFormatPr defaultColWidth="8.85546875" defaultRowHeight="12.75"/>
  <cols>
    <col min="1" max="1" width="18.7109375" style="1178" customWidth="1"/>
    <col min="2" max="2" width="16" style="1178" customWidth="1"/>
    <col min="3" max="3" width="22.140625" style="1178" customWidth="1"/>
    <col min="4" max="4" width="24.28515625" style="1178" customWidth="1"/>
    <col min="5" max="5" width="18.42578125" style="1178" customWidth="1"/>
    <col min="6" max="6" width="17.7109375" style="1178" customWidth="1"/>
    <col min="7" max="7" width="10.140625" style="1178" bestFit="1" customWidth="1"/>
    <col min="8" max="16384" width="8.85546875" style="1178"/>
  </cols>
  <sheetData>
    <row r="1" spans="1:7" s="28" customFormat="1" ht="15.75">
      <c r="F1" s="209" t="s">
        <v>967</v>
      </c>
    </row>
    <row r="2" spans="1:7" s="28" customFormat="1" ht="15">
      <c r="A2" s="30"/>
      <c r="B2" s="30"/>
      <c r="C2" s="30"/>
      <c r="D2" s="30"/>
      <c r="E2" s="30"/>
      <c r="F2" s="30"/>
      <c r="G2" s="32"/>
    </row>
    <row r="3" spans="1:7" s="28" customFormat="1" ht="17.25" customHeight="1">
      <c r="A3" s="1809" t="s">
        <v>1725</v>
      </c>
      <c r="B3" s="1809"/>
      <c r="C3" s="1809"/>
      <c r="D3" s="1809"/>
      <c r="E3" s="1809"/>
      <c r="F3" s="1809"/>
    </row>
    <row r="4" spans="1:7" s="1176" customFormat="1" ht="17.25" customHeight="1">
      <c r="A4" s="1966" t="s">
        <v>1773</v>
      </c>
      <c r="B4" s="1966"/>
      <c r="C4" s="1966"/>
      <c r="D4" s="1966"/>
      <c r="E4" s="1966"/>
      <c r="F4" s="1966"/>
    </row>
    <row r="5" spans="1:7" s="1176" customFormat="1" ht="17.25" customHeight="1">
      <c r="A5" s="1177"/>
      <c r="B5" s="1177"/>
      <c r="C5" s="1966" t="s">
        <v>752</v>
      </c>
      <c r="D5" s="1966"/>
      <c r="E5" s="1177"/>
      <c r="F5" s="1177"/>
    </row>
    <row r="6" spans="1:7" ht="15.75">
      <c r="A6" s="1146" t="s">
        <v>1568</v>
      </c>
      <c r="B6" s="1146"/>
      <c r="C6" s="1146"/>
      <c r="D6" s="1146"/>
      <c r="E6" s="1146"/>
      <c r="F6" s="1146"/>
    </row>
    <row r="7" spans="1:7" s="1179" customFormat="1" ht="15.75" customHeight="1">
      <c r="A7" s="1179" t="s">
        <v>1569</v>
      </c>
    </row>
    <row r="8" spans="1:7" s="1179" customFormat="1" ht="15.75" customHeight="1">
      <c r="A8" s="1179" t="s">
        <v>1570</v>
      </c>
    </row>
    <row r="9" spans="1:7" s="1179" customFormat="1" ht="15.75" customHeight="1">
      <c r="A9" s="1179" t="s">
        <v>1571</v>
      </c>
    </row>
    <row r="10" spans="1:7" s="1179" customFormat="1" ht="15.75" customHeight="1">
      <c r="A10" s="1179" t="s">
        <v>1572</v>
      </c>
    </row>
    <row r="11" spans="1:7" s="1179" customFormat="1" ht="15.75" customHeight="1">
      <c r="A11" s="1179" t="s">
        <v>1573</v>
      </c>
    </row>
    <row r="12" spans="1:7" s="1179" customFormat="1" ht="15.75" customHeight="1">
      <c r="A12" s="1179" t="s">
        <v>1574</v>
      </c>
    </row>
    <row r="13" spans="1:7" ht="31.15" customHeight="1"/>
    <row r="14" spans="1:7" ht="31.15" customHeight="1">
      <c r="A14" s="1967" t="s">
        <v>1575</v>
      </c>
      <c r="B14" s="1967"/>
      <c r="C14" s="1180">
        <v>2015</v>
      </c>
      <c r="D14" s="1181">
        <v>2016</v>
      </c>
      <c r="E14" s="1181">
        <v>2017</v>
      </c>
      <c r="F14" s="1181">
        <v>2018</v>
      </c>
    </row>
    <row r="15" spans="1:7" ht="15.75">
      <c r="A15" s="1956" t="s">
        <v>1576</v>
      </c>
      <c r="B15" s="1956"/>
      <c r="C15" s="1180">
        <v>176</v>
      </c>
      <c r="D15" s="1181">
        <v>157</v>
      </c>
      <c r="E15" s="1181">
        <v>158</v>
      </c>
      <c r="F15" s="1181">
        <f>ROUND((C15+D15+E15)/3,0)</f>
        <v>164</v>
      </c>
      <c r="G15" s="1182"/>
    </row>
    <row r="16" spans="1:7" ht="15.75">
      <c r="A16" s="1962" t="s">
        <v>1577</v>
      </c>
      <c r="B16" s="1952"/>
      <c r="C16" s="1963" t="s">
        <v>760</v>
      </c>
      <c r="D16" s="1963"/>
      <c r="E16" s="1959">
        <f>ROUND((10*8+12*4)/12,0)</f>
        <v>11</v>
      </c>
      <c r="F16" s="1183"/>
      <c r="G16" s="1216"/>
    </row>
    <row r="17" spans="1:9" ht="28.15" customHeight="1">
      <c r="A17" s="1184"/>
      <c r="B17" s="1185"/>
      <c r="C17" s="1961" t="s">
        <v>1578</v>
      </c>
      <c r="D17" s="1961"/>
      <c r="E17" s="1960"/>
      <c r="F17" s="1183"/>
      <c r="H17" s="1959"/>
      <c r="I17" s="1959"/>
    </row>
    <row r="18" spans="1:9" ht="30" customHeight="1">
      <c r="A18" s="1184"/>
      <c r="B18" s="1185"/>
      <c r="C18" s="1964" t="s">
        <v>1775</v>
      </c>
      <c r="D18" s="1964"/>
      <c r="E18" s="1964"/>
      <c r="F18" s="1965"/>
      <c r="H18" s="1960"/>
      <c r="I18" s="1960"/>
    </row>
    <row r="19" spans="1:9" ht="15.75">
      <c r="A19" s="1184"/>
      <c r="B19" s="1185"/>
      <c r="C19" s="1964" t="s">
        <v>1776</v>
      </c>
      <c r="D19" s="1964"/>
      <c r="E19" s="1964"/>
      <c r="F19" s="1965"/>
      <c r="G19" s="1146"/>
    </row>
    <row r="20" spans="1:9" s="1186" customFormat="1" ht="15.75">
      <c r="A20" s="1948" t="s">
        <v>761</v>
      </c>
      <c r="B20" s="1949"/>
      <c r="C20" s="1949"/>
      <c r="D20" s="1949"/>
      <c r="E20" s="1949"/>
      <c r="F20" s="1950"/>
      <c r="G20" s="1146"/>
    </row>
    <row r="21" spans="1:9" ht="31.5" hidden="1" customHeight="1">
      <c r="A21" s="1951" t="s">
        <v>1762</v>
      </c>
      <c r="B21" s="1952"/>
      <c r="C21" s="1952"/>
      <c r="D21" s="1949"/>
      <c r="E21" s="1949"/>
      <c r="F21" s="1950"/>
      <c r="G21" s="1146"/>
    </row>
    <row r="22" spans="1:9" s="1186" customFormat="1" ht="15.75" hidden="1">
      <c r="A22" s="1948" t="s">
        <v>1763</v>
      </c>
      <c r="B22" s="1949"/>
      <c r="C22" s="1949"/>
      <c r="D22" s="1949"/>
      <c r="E22" s="1949"/>
      <c r="F22" s="1950"/>
      <c r="G22" s="1146"/>
    </row>
    <row r="23" spans="1:9" ht="18" hidden="1" customHeight="1">
      <c r="A23" s="1951" t="s">
        <v>1764</v>
      </c>
      <c r="B23" s="1952"/>
      <c r="C23" s="1952"/>
      <c r="D23" s="1952"/>
      <c r="E23" s="1952"/>
      <c r="F23" s="1953"/>
      <c r="G23" s="1146"/>
    </row>
    <row r="24" spans="1:9" s="1186" customFormat="1" ht="20.25" hidden="1" customHeight="1">
      <c r="A24" s="1955" t="s">
        <v>1765</v>
      </c>
      <c r="B24" s="1956"/>
      <c r="C24" s="1956"/>
      <c r="D24" s="1956"/>
      <c r="E24" s="1956"/>
      <c r="F24" s="1956"/>
      <c r="G24" s="1146"/>
    </row>
    <row r="25" spans="1:9" s="1186" customFormat="1" ht="15.75">
      <c r="A25" s="1187"/>
      <c r="B25" s="1188"/>
      <c r="C25" s="1188"/>
      <c r="D25" s="1188"/>
      <c r="E25" s="1188"/>
      <c r="F25" s="1188"/>
      <c r="G25" s="1146"/>
    </row>
    <row r="26" spans="1:9" s="1186" customFormat="1" ht="78" customHeight="1">
      <c r="A26" s="1189" t="s">
        <v>1766</v>
      </c>
      <c r="B26" s="1189" t="s">
        <v>1579</v>
      </c>
      <c r="C26" s="1189" t="s">
        <v>1767</v>
      </c>
      <c r="D26" s="1190" t="s">
        <v>1580</v>
      </c>
      <c r="E26" s="1191"/>
    </row>
    <row r="27" spans="1:9" s="1195" customFormat="1" ht="15" customHeight="1">
      <c r="A27" s="1192" t="s">
        <v>1581</v>
      </c>
      <c r="B27" s="1192" t="s">
        <v>1270</v>
      </c>
      <c r="C27" s="1192" t="s">
        <v>1271</v>
      </c>
      <c r="D27" s="1193" t="s">
        <v>1272</v>
      </c>
      <c r="E27" s="1194"/>
    </row>
    <row r="28" spans="1:9" ht="15.75">
      <c r="A28" s="307">
        <f>B28-C28-D28</f>
        <v>1804</v>
      </c>
      <c r="B28" s="1196">
        <f>11*164</f>
        <v>1804</v>
      </c>
      <c r="C28" s="1197"/>
      <c r="D28" s="1198"/>
      <c r="E28" s="1185"/>
    </row>
    <row r="29" spans="1:9" s="1200" customFormat="1" ht="15.75">
      <c r="A29" s="1188"/>
      <c r="B29" s="1188"/>
      <c r="C29" s="1185"/>
      <c r="D29" s="1199"/>
      <c r="E29" s="1185"/>
      <c r="F29" s="1185"/>
    </row>
    <row r="30" spans="1:9" s="1186" customFormat="1" ht="126">
      <c r="A30" s="1189" t="s">
        <v>1768</v>
      </c>
      <c r="B30" s="1189" t="s">
        <v>1582</v>
      </c>
      <c r="C30" s="1189" t="s">
        <v>1769</v>
      </c>
      <c r="D30" s="1190" t="s">
        <v>1580</v>
      </c>
      <c r="E30" s="1171"/>
      <c r="F30" s="1201"/>
    </row>
    <row r="31" spans="1:9" s="1195" customFormat="1" ht="15" customHeight="1">
      <c r="A31" s="1192" t="s">
        <v>1581</v>
      </c>
      <c r="B31" s="1192" t="s">
        <v>1270</v>
      </c>
      <c r="C31" s="1192" t="s">
        <v>1271</v>
      </c>
      <c r="D31" s="1192" t="s">
        <v>1272</v>
      </c>
      <c r="E31" s="1957"/>
      <c r="F31" s="1957"/>
    </row>
    <row r="32" spans="1:9" ht="15.75">
      <c r="A32" s="307">
        <f>B32-C32-D32</f>
        <v>0</v>
      </c>
      <c r="B32" s="1196"/>
      <c r="C32" s="1196"/>
      <c r="D32" s="1196"/>
      <c r="E32" s="1175"/>
      <c r="F32" s="1200"/>
    </row>
    <row r="33" spans="1:7" ht="36.75" customHeight="1">
      <c r="A33" s="1202"/>
      <c r="B33" s="1188"/>
      <c r="C33" s="1188"/>
      <c r="D33" s="1188"/>
      <c r="E33" s="1188"/>
      <c r="F33" s="1188"/>
      <c r="G33" s="1146"/>
    </row>
    <row r="34" spans="1:7" ht="63">
      <c r="A34" s="1147" t="s">
        <v>218</v>
      </c>
      <c r="B34" s="1147" t="s">
        <v>1777</v>
      </c>
      <c r="C34" s="1147" t="s">
        <v>1778</v>
      </c>
      <c r="D34" s="1147" t="s">
        <v>1779</v>
      </c>
      <c r="E34" s="1147" t="s">
        <v>1780</v>
      </c>
      <c r="F34" s="1147" t="s">
        <v>1583</v>
      </c>
      <c r="G34" s="1186"/>
    </row>
    <row r="35" spans="1:7" ht="24" customHeight="1">
      <c r="A35" s="1203" t="s">
        <v>1584</v>
      </c>
      <c r="B35" s="1204">
        <f>E16</f>
        <v>11</v>
      </c>
      <c r="C35" s="1181">
        <f>ROUND(E35/B35,0)</f>
        <v>164</v>
      </c>
      <c r="D35" s="1205">
        <v>212.25</v>
      </c>
      <c r="E35" s="1196">
        <f>A28</f>
        <v>1804</v>
      </c>
      <c r="F35" s="1206">
        <f>ROUND(D35*E35,2)</f>
        <v>382899</v>
      </c>
    </row>
    <row r="36" spans="1:7" ht="47.25">
      <c r="A36" s="1203" t="s">
        <v>1585</v>
      </c>
      <c r="B36" s="1181"/>
      <c r="C36" s="1181" t="e">
        <f>ROUND(E36/B36,0)</f>
        <v>#DIV/0!</v>
      </c>
      <c r="D36" s="1205">
        <f>ROUND(D35*0.1,2)</f>
        <v>21.23</v>
      </c>
      <c r="E36" s="1196">
        <f>A32</f>
        <v>0</v>
      </c>
      <c r="F36" s="1206">
        <f>ROUND(D36*E36,2)</f>
        <v>0</v>
      </c>
    </row>
    <row r="37" spans="1:7" ht="15.75">
      <c r="A37" s="1207" t="s">
        <v>1527</v>
      </c>
      <c r="B37" s="1181"/>
      <c r="C37" s="1181"/>
      <c r="D37" s="1181"/>
      <c r="E37" s="1181"/>
      <c r="F37" s="1208">
        <f>F35+F36</f>
        <v>382899</v>
      </c>
    </row>
    <row r="38" spans="1:7" ht="22.5" customHeight="1">
      <c r="A38" s="1958"/>
      <c r="B38" s="1958"/>
      <c r="C38" s="1958"/>
      <c r="D38" s="1176"/>
      <c r="E38" s="1176"/>
      <c r="F38" s="1176"/>
    </row>
    <row r="39" spans="1:7" ht="38.25" customHeight="1">
      <c r="A39" s="1209" t="s">
        <v>1039</v>
      </c>
      <c r="B39" s="1210"/>
      <c r="C39" s="1176"/>
      <c r="D39" s="1176" t="s">
        <v>1770</v>
      </c>
      <c r="E39" s="1176"/>
      <c r="F39" s="1211" t="s">
        <v>1040</v>
      </c>
    </row>
    <row r="40" spans="1:7" ht="9.75" customHeight="1">
      <c r="B40" s="1210"/>
      <c r="C40" s="1176"/>
      <c r="D40" s="1954"/>
      <c r="E40" s="1954"/>
      <c r="F40" s="1212" t="s">
        <v>1847</v>
      </c>
    </row>
    <row r="41" spans="1:7" ht="15.75">
      <c r="A41" s="1209" t="s">
        <v>1771</v>
      </c>
      <c r="B41" s="1176"/>
      <c r="C41" s="1176"/>
      <c r="D41" s="1213" t="s">
        <v>1770</v>
      </c>
      <c r="E41" s="1213"/>
      <c r="F41" s="1211" t="s">
        <v>1245</v>
      </c>
    </row>
    <row r="42" spans="1:7" ht="15.75">
      <c r="A42" s="1182"/>
      <c r="B42" s="1176"/>
      <c r="C42" s="1176"/>
      <c r="D42" s="1954"/>
      <c r="E42" s="1954"/>
      <c r="F42" s="1212" t="s">
        <v>1847</v>
      </c>
    </row>
    <row r="43" spans="1:7" ht="15.75">
      <c r="A43" s="1176"/>
      <c r="B43" s="1176"/>
      <c r="C43" s="1176"/>
      <c r="D43" s="1176"/>
      <c r="E43" s="1176"/>
      <c r="F43" s="1176"/>
    </row>
    <row r="44" spans="1:7" ht="15.75">
      <c r="A44" s="1176"/>
      <c r="B44" s="1176"/>
      <c r="C44" s="1176"/>
      <c r="D44" s="1176"/>
      <c r="E44" s="1176"/>
      <c r="F44" s="1176"/>
    </row>
    <row r="45" spans="1:7" ht="15.75">
      <c r="A45" s="1176"/>
      <c r="B45" s="1176"/>
      <c r="C45" s="1176"/>
      <c r="D45" s="1176"/>
      <c r="E45" s="1176"/>
      <c r="F45" s="1176"/>
    </row>
    <row r="46" spans="1:7" ht="15.75">
      <c r="A46" s="1176"/>
      <c r="B46" s="1176"/>
      <c r="C46" s="1176"/>
      <c r="D46" s="1176"/>
      <c r="E46" s="1176"/>
      <c r="F46" s="1176"/>
    </row>
    <row r="47" spans="1:7" ht="15.75">
      <c r="A47" s="1176"/>
      <c r="B47" s="1176"/>
      <c r="C47" s="1176"/>
      <c r="D47" s="1176"/>
      <c r="E47" s="1176"/>
      <c r="F47" s="1176"/>
    </row>
    <row r="48" spans="1:7" ht="15.75">
      <c r="A48" s="1176"/>
      <c r="B48" s="1176"/>
      <c r="C48" s="1176"/>
      <c r="D48" s="1176"/>
      <c r="E48" s="1176"/>
      <c r="F48" s="1176"/>
    </row>
    <row r="49" spans="1:6" ht="15.75">
      <c r="A49" s="1176"/>
      <c r="B49" s="1176"/>
      <c r="C49" s="1176"/>
      <c r="D49" s="1176"/>
      <c r="E49" s="1176"/>
      <c r="F49" s="1176"/>
    </row>
  </sheetData>
  <mergeCells count="22">
    <mergeCell ref="A3:F3"/>
    <mergeCell ref="A4:F4"/>
    <mergeCell ref="A14:B14"/>
    <mergeCell ref="A15:B15"/>
    <mergeCell ref="E16:E17"/>
    <mergeCell ref="C5:D5"/>
    <mergeCell ref="I17:I18"/>
    <mergeCell ref="C18:F18"/>
    <mergeCell ref="H17:H18"/>
    <mergeCell ref="A20:F20"/>
    <mergeCell ref="A16:B16"/>
    <mergeCell ref="C16:D16"/>
    <mergeCell ref="D42:E42"/>
    <mergeCell ref="A24:F24"/>
    <mergeCell ref="C17:D17"/>
    <mergeCell ref="A22:F22"/>
    <mergeCell ref="A23:F23"/>
    <mergeCell ref="A21:F21"/>
    <mergeCell ref="E31:F31"/>
    <mergeCell ref="A38:C38"/>
    <mergeCell ref="D40:E40"/>
    <mergeCell ref="C19:F19"/>
  </mergeCells>
  <phoneticPr fontId="116" type="noConversion"/>
  <pageMargins left="0.31" right="0.31" top="0.31" bottom="0.17" header="0.5" footer="0.17"/>
  <pageSetup paperSize="9" scale="83" orientation="portrait" r:id="rId1"/>
  <headerFooter alignWithMargins="0"/>
</worksheet>
</file>

<file path=xl/worksheets/sheet51.xml><?xml version="1.0" encoding="utf-8"?>
<worksheet xmlns="http://schemas.openxmlformats.org/spreadsheetml/2006/main" xmlns:r="http://schemas.openxmlformats.org/officeDocument/2006/relationships">
  <sheetPr>
    <tabColor rgb="FF00B050"/>
    <pageSetUpPr fitToPage="1"/>
  </sheetPr>
  <dimension ref="A1:I49"/>
  <sheetViews>
    <sheetView view="pageBreakPreview" topLeftCell="B34" zoomScale="98" zoomScaleNormal="100" zoomScaleSheetLayoutView="98" workbookViewId="0">
      <selection activeCell="E35" sqref="E35"/>
    </sheetView>
  </sheetViews>
  <sheetFormatPr defaultColWidth="8.85546875" defaultRowHeight="12.75"/>
  <cols>
    <col min="1" max="1" width="18.7109375" style="1178" customWidth="1"/>
    <col min="2" max="2" width="16" style="1178" customWidth="1"/>
    <col min="3" max="3" width="22.140625" style="1178" customWidth="1"/>
    <col min="4" max="4" width="24.28515625" style="1178" customWidth="1"/>
    <col min="5" max="5" width="18.42578125" style="1178" customWidth="1"/>
    <col min="6" max="6" width="17.7109375" style="1178" customWidth="1"/>
    <col min="7" max="7" width="10.140625" style="1178" bestFit="1" customWidth="1"/>
    <col min="8" max="16384" width="8.85546875" style="1178"/>
  </cols>
  <sheetData>
    <row r="1" spans="1:9" s="28" customFormat="1" ht="15.75">
      <c r="F1" s="209" t="s">
        <v>967</v>
      </c>
    </row>
    <row r="2" spans="1:9" s="28" customFormat="1" ht="15">
      <c r="A2" s="30"/>
      <c r="B2" s="30"/>
      <c r="C2" s="30"/>
      <c r="D2" s="30"/>
      <c r="E2" s="30"/>
      <c r="F2" s="30"/>
      <c r="G2" s="32"/>
    </row>
    <row r="3" spans="1:9" s="28" customFormat="1" ht="17.25" customHeight="1">
      <c r="A3" s="1809" t="s">
        <v>1725</v>
      </c>
      <c r="B3" s="1809"/>
      <c r="C3" s="1809"/>
      <c r="D3" s="1809"/>
      <c r="E3" s="1809"/>
      <c r="F3" s="1809"/>
    </row>
    <row r="4" spans="1:9" s="1176" customFormat="1" ht="17.25" customHeight="1">
      <c r="A4" s="1966" t="s">
        <v>1774</v>
      </c>
      <c r="B4" s="1966"/>
      <c r="C4" s="1966"/>
      <c r="D4" s="1966"/>
      <c r="E4" s="1966"/>
      <c r="F4" s="1966"/>
    </row>
    <row r="5" spans="1:9" s="1176" customFormat="1" ht="17.25" customHeight="1">
      <c r="A5" s="1177"/>
      <c r="B5" s="1177"/>
      <c r="C5" s="1966" t="s">
        <v>749</v>
      </c>
      <c r="D5" s="1966"/>
      <c r="E5" s="1177"/>
      <c r="F5" s="1177"/>
    </row>
    <row r="6" spans="1:9" ht="15.75">
      <c r="A6" s="1146" t="s">
        <v>1568</v>
      </c>
      <c r="B6" s="1146"/>
      <c r="C6" s="1146"/>
      <c r="D6" s="1146"/>
      <c r="E6" s="1146"/>
      <c r="F6" s="1146"/>
    </row>
    <row r="7" spans="1:9" s="1179" customFormat="1" ht="15.75" customHeight="1">
      <c r="A7" s="1179" t="s">
        <v>1569</v>
      </c>
    </row>
    <row r="8" spans="1:9" s="1179" customFormat="1" ht="15.75" customHeight="1">
      <c r="A8" s="1179" t="s">
        <v>1570</v>
      </c>
    </row>
    <row r="9" spans="1:9" s="1179" customFormat="1" ht="15.75" customHeight="1">
      <c r="A9" s="1179" t="s">
        <v>1571</v>
      </c>
    </row>
    <row r="10" spans="1:9" s="1179" customFormat="1" ht="15.75" customHeight="1">
      <c r="A10" s="1179" t="s">
        <v>1572</v>
      </c>
    </row>
    <row r="11" spans="1:9" s="1179" customFormat="1" ht="15.75" customHeight="1">
      <c r="A11" s="1179" t="s">
        <v>1573</v>
      </c>
    </row>
    <row r="12" spans="1:9" s="1179" customFormat="1" ht="15.75" customHeight="1">
      <c r="A12" s="1179" t="s">
        <v>1574</v>
      </c>
    </row>
    <row r="13" spans="1:9" ht="31.15" customHeight="1"/>
    <row r="14" spans="1:9" ht="31.15" customHeight="1">
      <c r="A14" s="1967" t="s">
        <v>1575</v>
      </c>
      <c r="B14" s="1967"/>
      <c r="C14" s="1180">
        <v>2015</v>
      </c>
      <c r="D14" s="1181">
        <v>2016</v>
      </c>
      <c r="E14" s="1181">
        <v>2017</v>
      </c>
      <c r="F14" s="1181">
        <v>2018</v>
      </c>
    </row>
    <row r="15" spans="1:9" ht="15.75">
      <c r="A15" s="1956" t="s">
        <v>1576</v>
      </c>
      <c r="B15" s="1956"/>
      <c r="C15" s="1180">
        <v>176</v>
      </c>
      <c r="D15" s="1181">
        <v>157</v>
      </c>
      <c r="E15" s="1181">
        <v>158</v>
      </c>
      <c r="F15" s="1181">
        <f>ROUND((C15+D15+E15)/3,0)</f>
        <v>164</v>
      </c>
      <c r="G15" s="1182"/>
    </row>
    <row r="16" spans="1:9" ht="15.75">
      <c r="A16" s="1962" t="s">
        <v>1577</v>
      </c>
      <c r="B16" s="1952"/>
      <c r="C16" s="1963" t="s">
        <v>832</v>
      </c>
      <c r="D16" s="1963"/>
      <c r="E16" s="1959">
        <f>ROUND((26*8+25*4)/12,0)</f>
        <v>26</v>
      </c>
      <c r="F16" s="1183"/>
      <c r="G16" s="1216"/>
      <c r="H16" s="1200"/>
      <c r="I16" s="1200"/>
    </row>
    <row r="17" spans="1:9" ht="28.15" customHeight="1">
      <c r="A17" s="1184"/>
      <c r="B17" s="1185"/>
      <c r="C17" s="1961" t="s">
        <v>1578</v>
      </c>
      <c r="D17" s="1961"/>
      <c r="E17" s="1960"/>
      <c r="F17" s="1183"/>
      <c r="H17" s="1960"/>
      <c r="I17" s="1960"/>
    </row>
    <row r="18" spans="1:9" ht="19.5" customHeight="1">
      <c r="A18" s="1184"/>
      <c r="B18" s="1185"/>
      <c r="C18" s="1964" t="s">
        <v>1775</v>
      </c>
      <c r="D18" s="1964"/>
      <c r="E18" s="1964"/>
      <c r="F18" s="1965"/>
      <c r="H18" s="1960"/>
      <c r="I18" s="1960"/>
    </row>
    <row r="19" spans="1:9" ht="21.75" customHeight="1">
      <c r="A19" s="1184"/>
      <c r="B19" s="1185"/>
      <c r="C19" s="1964" t="s">
        <v>1776</v>
      </c>
      <c r="D19" s="1964"/>
      <c r="E19" s="1964"/>
      <c r="F19" s="1965"/>
      <c r="G19" s="1146"/>
    </row>
    <row r="20" spans="1:9" s="1186" customFormat="1" ht="21.75" customHeight="1">
      <c r="A20" s="1948" t="s">
        <v>833</v>
      </c>
      <c r="B20" s="1949"/>
      <c r="C20" s="1949"/>
      <c r="D20" s="1949"/>
      <c r="E20" s="1949"/>
      <c r="F20" s="1950"/>
      <c r="G20" s="1146"/>
    </row>
    <row r="21" spans="1:9" ht="31.5" hidden="1" customHeight="1">
      <c r="A21" s="1951" t="s">
        <v>1762</v>
      </c>
      <c r="B21" s="1952"/>
      <c r="C21" s="1952"/>
      <c r="D21" s="1949"/>
      <c r="E21" s="1949"/>
      <c r="F21" s="1950"/>
      <c r="G21" s="1146"/>
    </row>
    <row r="22" spans="1:9" s="1186" customFormat="1" ht="15.75" hidden="1">
      <c r="A22" s="1948" t="s">
        <v>1763</v>
      </c>
      <c r="B22" s="1949"/>
      <c r="C22" s="1949"/>
      <c r="D22" s="1949"/>
      <c r="E22" s="1949"/>
      <c r="F22" s="1950"/>
      <c r="G22" s="1146"/>
    </row>
    <row r="23" spans="1:9" ht="18" hidden="1" customHeight="1">
      <c r="A23" s="1951" t="s">
        <v>1764</v>
      </c>
      <c r="B23" s="1952"/>
      <c r="C23" s="1952"/>
      <c r="D23" s="1952"/>
      <c r="E23" s="1952"/>
      <c r="F23" s="1953"/>
      <c r="G23" s="1146"/>
    </row>
    <row r="24" spans="1:9" s="1186" customFormat="1" ht="20.25" hidden="1" customHeight="1">
      <c r="A24" s="1955" t="s">
        <v>1765</v>
      </c>
      <c r="B24" s="1956"/>
      <c r="C24" s="1956"/>
      <c r="D24" s="1956"/>
      <c r="E24" s="1956"/>
      <c r="F24" s="1956"/>
      <c r="G24" s="1146"/>
    </row>
    <row r="25" spans="1:9" s="1186" customFormat="1" ht="15.75">
      <c r="A25" s="1187"/>
      <c r="B25" s="1188"/>
      <c r="C25" s="1188"/>
      <c r="D25" s="1188"/>
      <c r="E25" s="1188"/>
      <c r="F25" s="1188"/>
      <c r="G25" s="1146"/>
    </row>
    <row r="26" spans="1:9" s="1186" customFormat="1" ht="78" customHeight="1">
      <c r="A26" s="1189" t="s">
        <v>1766</v>
      </c>
      <c r="B26" s="1189" t="s">
        <v>1579</v>
      </c>
      <c r="C26" s="1189" t="s">
        <v>1767</v>
      </c>
      <c r="D26" s="1190" t="s">
        <v>1580</v>
      </c>
      <c r="E26" s="1191"/>
    </row>
    <row r="27" spans="1:9" s="1195" customFormat="1" ht="15" customHeight="1">
      <c r="A27" s="1192" t="s">
        <v>1581</v>
      </c>
      <c r="B27" s="1192" t="s">
        <v>1270</v>
      </c>
      <c r="C27" s="1192" t="s">
        <v>1271</v>
      </c>
      <c r="D27" s="1193" t="s">
        <v>1272</v>
      </c>
      <c r="E27" s="1194"/>
    </row>
    <row r="28" spans="1:9" ht="15.75">
      <c r="A28" s="307">
        <f>B28-C28-D28</f>
        <v>4264</v>
      </c>
      <c r="B28" s="1196">
        <f>26*164</f>
        <v>4264</v>
      </c>
      <c r="C28" s="1197"/>
      <c r="D28" s="1198"/>
      <c r="E28" s="1185"/>
    </row>
    <row r="29" spans="1:9" s="1200" customFormat="1" ht="15.75">
      <c r="A29" s="1188"/>
      <c r="B29" s="1188"/>
      <c r="C29" s="1185"/>
      <c r="D29" s="1199"/>
      <c r="E29" s="1185"/>
      <c r="F29" s="1185"/>
    </row>
    <row r="30" spans="1:9" s="1186" customFormat="1" ht="126">
      <c r="A30" s="1189" t="s">
        <v>1768</v>
      </c>
      <c r="B30" s="1189" t="s">
        <v>1582</v>
      </c>
      <c r="C30" s="1189" t="s">
        <v>1769</v>
      </c>
      <c r="D30" s="1190" t="s">
        <v>1580</v>
      </c>
      <c r="E30" s="1171"/>
      <c r="F30" s="1201"/>
    </row>
    <row r="31" spans="1:9" s="1195" customFormat="1" ht="15" customHeight="1">
      <c r="A31" s="1192" t="s">
        <v>1581</v>
      </c>
      <c r="B31" s="1192" t="s">
        <v>1270</v>
      </c>
      <c r="C31" s="1192" t="s">
        <v>1271</v>
      </c>
      <c r="D31" s="1192" t="s">
        <v>1272</v>
      </c>
      <c r="E31" s="1957"/>
      <c r="F31" s="1957"/>
    </row>
    <row r="32" spans="1:9" ht="15.75">
      <c r="A32" s="307">
        <f>B32-C32-D32</f>
        <v>0</v>
      </c>
      <c r="B32" s="1196"/>
      <c r="C32" s="1196"/>
      <c r="D32" s="1196"/>
      <c r="E32" s="1175"/>
      <c r="F32" s="1200"/>
    </row>
    <row r="33" spans="1:8" ht="36.75" customHeight="1">
      <c r="A33" s="1202"/>
      <c r="B33" s="1188"/>
      <c r="C33" s="1188"/>
      <c r="D33" s="1188"/>
      <c r="E33" s="1188"/>
      <c r="F33" s="1188"/>
      <c r="G33" s="1146"/>
    </row>
    <row r="34" spans="1:8" ht="63">
      <c r="A34" s="1147" t="s">
        <v>218</v>
      </c>
      <c r="B34" s="1147" t="s">
        <v>1777</v>
      </c>
      <c r="C34" s="1147" t="s">
        <v>1778</v>
      </c>
      <c r="D34" s="1147" t="s">
        <v>1779</v>
      </c>
      <c r="E34" s="1147" t="s">
        <v>1780</v>
      </c>
      <c r="F34" s="1147" t="s">
        <v>1583</v>
      </c>
      <c r="G34" s="1186"/>
    </row>
    <row r="35" spans="1:8" ht="24" customHeight="1">
      <c r="A35" s="1203" t="s">
        <v>1584</v>
      </c>
      <c r="B35" s="1204">
        <f>E16</f>
        <v>26</v>
      </c>
      <c r="C35" s="1181">
        <f>ROUND(E35/B35,0)</f>
        <v>164</v>
      </c>
      <c r="D35" s="1205">
        <v>243.59</v>
      </c>
      <c r="E35" s="1196">
        <f>A28</f>
        <v>4264</v>
      </c>
      <c r="F35" s="1206">
        <f>ROUND(D35*E35,2)</f>
        <v>1038667.76</v>
      </c>
      <c r="G35" s="1214"/>
      <c r="H35" s="1214"/>
    </row>
    <row r="36" spans="1:8" ht="47.25">
      <c r="A36" s="1203" t="s">
        <v>1585</v>
      </c>
      <c r="B36" s="1181"/>
      <c r="C36" s="1181" t="e">
        <f>ROUND(E36/B36,0)</f>
        <v>#DIV/0!</v>
      </c>
      <c r="D36" s="1205">
        <f>ROUND(D35*0.1,2)</f>
        <v>24.36</v>
      </c>
      <c r="E36" s="1196">
        <f>A32</f>
        <v>0</v>
      </c>
      <c r="F36" s="1206">
        <f>ROUND(D36*E36,2)</f>
        <v>0</v>
      </c>
    </row>
    <row r="37" spans="1:8" ht="15.75">
      <c r="A37" s="1207" t="s">
        <v>1527</v>
      </c>
      <c r="B37" s="1181"/>
      <c r="C37" s="1181"/>
      <c r="D37" s="1181"/>
      <c r="E37" s="1181"/>
      <c r="F37" s="1208">
        <f>F35+F36</f>
        <v>1038667.76</v>
      </c>
      <c r="G37" s="1215"/>
    </row>
    <row r="38" spans="1:8" ht="22.5" customHeight="1">
      <c r="A38" s="1958"/>
      <c r="B38" s="1958"/>
      <c r="C38" s="1958"/>
      <c r="D38" s="1176"/>
      <c r="E38" s="1176"/>
      <c r="F38" s="1176"/>
    </row>
    <row r="39" spans="1:8" ht="38.25" customHeight="1">
      <c r="A39" s="1209" t="s">
        <v>1039</v>
      </c>
      <c r="B39" s="1210"/>
      <c r="C39" s="1176"/>
      <c r="D39" s="1176" t="s">
        <v>1770</v>
      </c>
      <c r="E39" s="1176"/>
      <c r="F39" s="1211" t="s">
        <v>1040</v>
      </c>
    </row>
    <row r="40" spans="1:8" ht="9.75" customHeight="1">
      <c r="B40" s="1210"/>
      <c r="C40" s="1176"/>
      <c r="D40" s="1954"/>
      <c r="E40" s="1954"/>
      <c r="F40" s="1212" t="s">
        <v>1847</v>
      </c>
    </row>
    <row r="41" spans="1:8" ht="15.75">
      <c r="A41" s="1209" t="s">
        <v>1771</v>
      </c>
      <c r="B41" s="1176"/>
      <c r="C41" s="1176"/>
      <c r="D41" s="1213" t="s">
        <v>1770</v>
      </c>
      <c r="E41" s="1213"/>
      <c r="F41" s="1211" t="s">
        <v>1245</v>
      </c>
    </row>
    <row r="42" spans="1:8" ht="15.75">
      <c r="A42" s="1182"/>
      <c r="B42" s="1176"/>
      <c r="C42" s="1176"/>
      <c r="D42" s="1954"/>
      <c r="E42" s="1954"/>
      <c r="F42" s="1212" t="s">
        <v>1847</v>
      </c>
    </row>
    <row r="43" spans="1:8" ht="15.75">
      <c r="A43" s="1176"/>
      <c r="B43" s="1176"/>
      <c r="C43" s="1176"/>
      <c r="D43" s="1176"/>
      <c r="E43" s="1176"/>
      <c r="F43" s="1176"/>
    </row>
    <row r="44" spans="1:8" ht="15.75">
      <c r="A44" s="1176"/>
      <c r="B44" s="1176"/>
      <c r="C44" s="1176"/>
      <c r="D44" s="1176"/>
      <c r="E44" s="1176"/>
      <c r="F44" s="1176"/>
    </row>
    <row r="45" spans="1:8" ht="15.75">
      <c r="A45" s="1176"/>
      <c r="B45" s="1176"/>
      <c r="C45" s="1176"/>
      <c r="D45" s="1176"/>
      <c r="E45" s="1176"/>
      <c r="F45" s="1176"/>
    </row>
    <row r="46" spans="1:8" ht="15.75">
      <c r="A46" s="1176"/>
      <c r="B46" s="1176"/>
      <c r="C46" s="1176"/>
      <c r="D46" s="1176"/>
      <c r="E46" s="1176"/>
      <c r="F46" s="1176"/>
    </row>
    <row r="47" spans="1:8" ht="15.75">
      <c r="A47" s="1176"/>
      <c r="B47" s="1176"/>
      <c r="C47" s="1176"/>
      <c r="D47" s="1176"/>
      <c r="E47" s="1176"/>
      <c r="F47" s="1176"/>
    </row>
    <row r="48" spans="1:8" ht="15.75">
      <c r="A48" s="1176"/>
      <c r="B48" s="1176"/>
      <c r="C48" s="1176"/>
      <c r="D48" s="1176"/>
      <c r="E48" s="1176"/>
      <c r="F48" s="1176"/>
    </row>
    <row r="49" spans="1:6" ht="15.75">
      <c r="A49" s="1176"/>
      <c r="B49" s="1176"/>
      <c r="C49" s="1176"/>
      <c r="D49" s="1176"/>
      <c r="E49" s="1176"/>
      <c r="F49" s="1176"/>
    </row>
  </sheetData>
  <mergeCells count="22">
    <mergeCell ref="A3:F3"/>
    <mergeCell ref="A4:F4"/>
    <mergeCell ref="A14:B14"/>
    <mergeCell ref="A15:B15"/>
    <mergeCell ref="E16:E17"/>
    <mergeCell ref="C5:D5"/>
    <mergeCell ref="I17:I18"/>
    <mergeCell ref="C18:F18"/>
    <mergeCell ref="H17:H18"/>
    <mergeCell ref="A20:F20"/>
    <mergeCell ref="A16:B16"/>
    <mergeCell ref="C16:D16"/>
    <mergeCell ref="D42:E42"/>
    <mergeCell ref="A24:F24"/>
    <mergeCell ref="C17:D17"/>
    <mergeCell ref="A22:F22"/>
    <mergeCell ref="A23:F23"/>
    <mergeCell ref="A21:F21"/>
    <mergeCell ref="E31:F31"/>
    <mergeCell ref="A38:C38"/>
    <mergeCell ref="D40:E40"/>
    <mergeCell ref="C19:F19"/>
  </mergeCells>
  <phoneticPr fontId="116" type="noConversion"/>
  <pageMargins left="0.31" right="0.31" top="0.31" bottom="0.17" header="0.5" footer="0.17"/>
  <pageSetup paperSize="9" scale="83" orientation="portrait" r:id="rId1"/>
  <headerFooter alignWithMargins="0"/>
</worksheet>
</file>

<file path=xl/worksheets/sheet52.xml><?xml version="1.0" encoding="utf-8"?>
<worksheet xmlns="http://schemas.openxmlformats.org/spreadsheetml/2006/main" xmlns:r="http://schemas.openxmlformats.org/officeDocument/2006/relationships">
  <sheetPr>
    <tabColor rgb="FF7030A0"/>
    <pageSetUpPr fitToPage="1"/>
  </sheetPr>
  <dimension ref="A1:H49"/>
  <sheetViews>
    <sheetView view="pageBreakPreview" topLeftCell="A34" zoomScale="93" zoomScaleNormal="100" zoomScaleSheetLayoutView="93" workbookViewId="0">
      <selection activeCell="F37" sqref="F37"/>
    </sheetView>
  </sheetViews>
  <sheetFormatPr defaultColWidth="8.85546875" defaultRowHeight="12.75"/>
  <cols>
    <col min="1" max="1" width="18.7109375" style="1178" customWidth="1"/>
    <col min="2" max="2" width="16" style="1178" customWidth="1"/>
    <col min="3" max="3" width="22.140625" style="1178" customWidth="1"/>
    <col min="4" max="4" width="23.140625" style="1178" customWidth="1"/>
    <col min="5" max="5" width="18.42578125" style="1178" customWidth="1"/>
    <col min="6" max="6" width="17.7109375" style="1178" customWidth="1"/>
    <col min="7" max="16384" width="8.85546875" style="1178"/>
  </cols>
  <sheetData>
    <row r="1" spans="1:8" s="28" customFormat="1" ht="15.75">
      <c r="F1" s="209" t="s">
        <v>967</v>
      </c>
    </row>
    <row r="2" spans="1:8" s="28" customFormat="1" ht="15">
      <c r="A2" s="30"/>
      <c r="B2" s="30"/>
      <c r="C2" s="30"/>
      <c r="D2" s="30"/>
      <c r="E2" s="30"/>
      <c r="F2" s="30"/>
      <c r="G2" s="32"/>
    </row>
    <row r="3" spans="1:8" s="28" customFormat="1" ht="17.25" customHeight="1">
      <c r="A3" s="1809" t="s">
        <v>1725</v>
      </c>
      <c r="B3" s="1809"/>
      <c r="C3" s="1809"/>
      <c r="D3" s="1809"/>
      <c r="E3" s="1809"/>
      <c r="F3" s="1809"/>
    </row>
    <row r="4" spans="1:8" s="1176" customFormat="1" ht="17.25" customHeight="1">
      <c r="A4" s="1966" t="s">
        <v>542</v>
      </c>
      <c r="B4" s="1966"/>
      <c r="C4" s="1966"/>
      <c r="D4" s="1966"/>
      <c r="E4" s="1966"/>
      <c r="F4" s="1966"/>
    </row>
    <row r="5" spans="1:8" s="1176" customFormat="1" ht="17.25" customHeight="1">
      <c r="A5" s="1177"/>
      <c r="B5" s="1177"/>
      <c r="C5" s="1966" t="s">
        <v>752</v>
      </c>
      <c r="D5" s="1966"/>
      <c r="E5" s="1177"/>
      <c r="F5" s="1177"/>
    </row>
    <row r="6" spans="1:8" ht="15.75">
      <c r="A6" s="1146" t="s">
        <v>1568</v>
      </c>
      <c r="B6" s="1146"/>
      <c r="C6" s="1146"/>
      <c r="D6" s="1146"/>
      <c r="E6" s="1146"/>
      <c r="F6" s="1146"/>
    </row>
    <row r="7" spans="1:8" s="1179" customFormat="1" ht="15.75" customHeight="1">
      <c r="A7" s="1179" t="s">
        <v>1569</v>
      </c>
    </row>
    <row r="8" spans="1:8" s="1179" customFormat="1" ht="15.75" customHeight="1">
      <c r="A8" s="1179" t="s">
        <v>1570</v>
      </c>
    </row>
    <row r="9" spans="1:8" s="1179" customFormat="1" ht="15.75" customHeight="1">
      <c r="A9" s="1179" t="s">
        <v>1571</v>
      </c>
    </row>
    <row r="10" spans="1:8" s="1179" customFormat="1" ht="15.75" customHeight="1">
      <c r="A10" s="1179" t="s">
        <v>1572</v>
      </c>
    </row>
    <row r="11" spans="1:8" s="1179" customFormat="1" ht="15.75" customHeight="1">
      <c r="A11" s="1179" t="s">
        <v>1573</v>
      </c>
    </row>
    <row r="12" spans="1:8" s="1179" customFormat="1" ht="15.75" customHeight="1">
      <c r="A12" s="1179" t="s">
        <v>1574</v>
      </c>
    </row>
    <row r="13" spans="1:8" ht="31.15" customHeight="1"/>
    <row r="14" spans="1:8" ht="31.15" customHeight="1">
      <c r="A14" s="1967" t="s">
        <v>1575</v>
      </c>
      <c r="B14" s="1967"/>
      <c r="C14" s="1180">
        <v>2016</v>
      </c>
      <c r="D14" s="1181">
        <v>2017</v>
      </c>
      <c r="E14" s="1181">
        <v>2018</v>
      </c>
      <c r="F14" s="1181">
        <v>2019</v>
      </c>
    </row>
    <row r="15" spans="1:8" ht="15.75">
      <c r="A15" s="1956" t="s">
        <v>1576</v>
      </c>
      <c r="B15" s="1956"/>
      <c r="C15" s="1180">
        <v>149</v>
      </c>
      <c r="D15" s="1181">
        <v>147</v>
      </c>
      <c r="E15" s="1181">
        <v>156</v>
      </c>
      <c r="F15" s="1181">
        <f>ROUND((C15+D15+E15)/3,0)</f>
        <v>151</v>
      </c>
      <c r="G15" s="1182">
        <v>156</v>
      </c>
    </row>
    <row r="16" spans="1:8" ht="15.75">
      <c r="A16" s="1962" t="s">
        <v>1577</v>
      </c>
      <c r="B16" s="1952"/>
      <c r="C16" s="1963" t="s">
        <v>834</v>
      </c>
      <c r="D16" s="1963"/>
      <c r="E16" s="1959">
        <f>ROUND((8*8+9*4)/12,0)</f>
        <v>8</v>
      </c>
      <c r="F16" s="1183"/>
      <c r="G16" s="1959"/>
      <c r="H16" s="1959"/>
    </row>
    <row r="17" spans="1:8" ht="16.5" customHeight="1">
      <c r="A17" s="1184"/>
      <c r="B17" s="1185"/>
      <c r="C17" s="1961" t="s">
        <v>1578</v>
      </c>
      <c r="D17" s="1961"/>
      <c r="E17" s="1960"/>
      <c r="F17" s="1183"/>
      <c r="G17" s="1960"/>
      <c r="H17" s="1960"/>
    </row>
    <row r="18" spans="1:8" ht="25.5" customHeight="1">
      <c r="A18" s="1184"/>
      <c r="B18" s="1185"/>
      <c r="C18" s="1964" t="s">
        <v>835</v>
      </c>
      <c r="D18" s="1964"/>
      <c r="E18" s="1964"/>
      <c r="F18" s="1965"/>
    </row>
    <row r="19" spans="1:8" ht="15.75">
      <c r="A19" s="1184"/>
      <c r="B19" s="1185"/>
      <c r="C19" s="1964" t="s">
        <v>836</v>
      </c>
      <c r="D19" s="1964"/>
      <c r="E19" s="1964"/>
      <c r="F19" s="1965"/>
      <c r="G19" s="1146"/>
    </row>
    <row r="20" spans="1:8" s="1186" customFormat="1" ht="15.75">
      <c r="A20" s="1948" t="s">
        <v>837</v>
      </c>
      <c r="B20" s="1949"/>
      <c r="C20" s="1949"/>
      <c r="D20" s="1949"/>
      <c r="E20" s="1949"/>
      <c r="F20" s="1950"/>
      <c r="G20" s="1146"/>
    </row>
    <row r="21" spans="1:8" ht="31.5" hidden="1" customHeight="1">
      <c r="A21" s="1951" t="s">
        <v>1762</v>
      </c>
      <c r="B21" s="1952"/>
      <c r="C21" s="1952"/>
      <c r="D21" s="1949"/>
      <c r="E21" s="1949"/>
      <c r="F21" s="1950"/>
      <c r="G21" s="1146"/>
    </row>
    <row r="22" spans="1:8" s="1186" customFormat="1" ht="15.75" hidden="1">
      <c r="A22" s="1948" t="s">
        <v>1763</v>
      </c>
      <c r="B22" s="1949"/>
      <c r="C22" s="1949"/>
      <c r="D22" s="1949"/>
      <c r="E22" s="1949"/>
      <c r="F22" s="1950"/>
      <c r="G22" s="1146"/>
    </row>
    <row r="23" spans="1:8" ht="18" hidden="1" customHeight="1">
      <c r="A23" s="1951" t="s">
        <v>1764</v>
      </c>
      <c r="B23" s="1952"/>
      <c r="C23" s="1952"/>
      <c r="D23" s="1952"/>
      <c r="E23" s="1952"/>
      <c r="F23" s="1953"/>
      <c r="G23" s="1146"/>
    </row>
    <row r="24" spans="1:8" s="1186" customFormat="1" ht="20.25" hidden="1" customHeight="1">
      <c r="A24" s="1955" t="s">
        <v>1765</v>
      </c>
      <c r="B24" s="1956"/>
      <c r="C24" s="1956"/>
      <c r="D24" s="1956"/>
      <c r="E24" s="1956"/>
      <c r="F24" s="1956"/>
      <c r="G24" s="1146"/>
    </row>
    <row r="25" spans="1:8" s="1186" customFormat="1" ht="15.75">
      <c r="A25" s="1187"/>
      <c r="B25" s="1188"/>
      <c r="C25" s="1188"/>
      <c r="D25" s="1188"/>
      <c r="E25" s="1188"/>
      <c r="F25" s="1188"/>
      <c r="G25" s="1146"/>
    </row>
    <row r="26" spans="1:8" s="1186" customFormat="1" ht="78" customHeight="1">
      <c r="A26" s="1189" t="s">
        <v>1766</v>
      </c>
      <c r="B26" s="1189" t="s">
        <v>1579</v>
      </c>
      <c r="C26" s="1189" t="s">
        <v>1767</v>
      </c>
      <c r="D26" s="1190" t="s">
        <v>1580</v>
      </c>
      <c r="E26" s="1191"/>
    </row>
    <row r="27" spans="1:8" s="1195" customFormat="1" ht="15" customHeight="1">
      <c r="A27" s="1192" t="s">
        <v>1581</v>
      </c>
      <c r="B27" s="1192" t="s">
        <v>1270</v>
      </c>
      <c r="C27" s="1192" t="s">
        <v>1271</v>
      </c>
      <c r="D27" s="1193" t="s">
        <v>1272</v>
      </c>
      <c r="E27" s="1194"/>
    </row>
    <row r="28" spans="1:8" ht="15.75">
      <c r="A28" s="307">
        <f>B28-C28-D28</f>
        <v>1208</v>
      </c>
      <c r="B28" s="1196">
        <f>8*151</f>
        <v>1208</v>
      </c>
      <c r="C28" s="1197"/>
      <c r="D28" s="1198"/>
      <c r="E28" s="1185"/>
    </row>
    <row r="29" spans="1:8" s="1200" customFormat="1" ht="15.75">
      <c r="A29" s="1188"/>
      <c r="B29" s="1188"/>
      <c r="C29" s="1185"/>
      <c r="D29" s="1199"/>
      <c r="E29" s="1185"/>
      <c r="F29" s="1185"/>
    </row>
    <row r="30" spans="1:8" s="1186" customFormat="1" ht="126">
      <c r="A30" s="1189" t="s">
        <v>1768</v>
      </c>
      <c r="B30" s="1189" t="s">
        <v>1582</v>
      </c>
      <c r="C30" s="1189" t="s">
        <v>1769</v>
      </c>
      <c r="D30" s="1190" t="s">
        <v>1580</v>
      </c>
      <c r="E30" s="1171"/>
      <c r="F30" s="1201"/>
    </row>
    <row r="31" spans="1:8" s="1195" customFormat="1" ht="15" customHeight="1">
      <c r="A31" s="1192" t="s">
        <v>1581</v>
      </c>
      <c r="B31" s="1192" t="s">
        <v>1270</v>
      </c>
      <c r="C31" s="1192" t="s">
        <v>1271</v>
      </c>
      <c r="D31" s="1192" t="s">
        <v>1272</v>
      </c>
      <c r="E31" s="1957"/>
      <c r="F31" s="1957"/>
    </row>
    <row r="32" spans="1:8" ht="15.75">
      <c r="A32" s="307">
        <f>B32-C32-D32</f>
        <v>0</v>
      </c>
      <c r="B32" s="1196"/>
      <c r="C32" s="1196"/>
      <c r="D32" s="1196"/>
      <c r="E32" s="1175"/>
      <c r="F32" s="1200"/>
    </row>
    <row r="33" spans="1:7" ht="36.75" customHeight="1">
      <c r="A33" s="1202"/>
      <c r="B33" s="1188"/>
      <c r="C33" s="1188"/>
      <c r="D33" s="1188"/>
      <c r="E33" s="1188"/>
      <c r="F33" s="1188"/>
      <c r="G33" s="1146"/>
    </row>
    <row r="34" spans="1:7" ht="63">
      <c r="A34" s="1147" t="s">
        <v>218</v>
      </c>
      <c r="B34" s="1147" t="s">
        <v>838</v>
      </c>
      <c r="C34" s="1147" t="s">
        <v>839</v>
      </c>
      <c r="D34" s="1147" t="s">
        <v>840</v>
      </c>
      <c r="E34" s="1147" t="s">
        <v>841</v>
      </c>
      <c r="F34" s="1147" t="s">
        <v>1583</v>
      </c>
      <c r="G34" s="1186"/>
    </row>
    <row r="35" spans="1:7" ht="24" customHeight="1">
      <c r="A35" s="1203" t="s">
        <v>1584</v>
      </c>
      <c r="B35" s="1204">
        <f>E16</f>
        <v>8</v>
      </c>
      <c r="C35" s="1181">
        <f>ROUND(E35/B35,0)</f>
        <v>151</v>
      </c>
      <c r="D35" s="1205">
        <v>137.96</v>
      </c>
      <c r="E35" s="1196">
        <f>A28</f>
        <v>1208</v>
      </c>
      <c r="F35" s="1206">
        <f>ROUND(D35*E35,2)</f>
        <v>166655.67999999999</v>
      </c>
    </row>
    <row r="36" spans="1:7" ht="47.25">
      <c r="A36" s="1203" t="s">
        <v>1585</v>
      </c>
      <c r="B36" s="1181"/>
      <c r="C36" s="1181" t="e">
        <f>ROUND(E36/B36,0)</f>
        <v>#DIV/0!</v>
      </c>
      <c r="D36" s="1205">
        <f>ROUND(D35*0.1,2)</f>
        <v>13.8</v>
      </c>
      <c r="E36" s="1196">
        <f>A32</f>
        <v>0</v>
      </c>
      <c r="F36" s="1206">
        <f>ROUND(D36*E36,2)</f>
        <v>0</v>
      </c>
    </row>
    <row r="37" spans="1:7" ht="15.75">
      <c r="A37" s="1207" t="s">
        <v>1527</v>
      </c>
      <c r="B37" s="1181"/>
      <c r="C37" s="1181"/>
      <c r="D37" s="1181"/>
      <c r="E37" s="1181"/>
      <c r="F37" s="1208">
        <f>F35+F36</f>
        <v>166655.67999999999</v>
      </c>
    </row>
    <row r="38" spans="1:7" ht="15.75">
      <c r="A38" s="1958"/>
      <c r="B38" s="1958"/>
      <c r="C38" s="1958"/>
      <c r="D38" s="1176"/>
      <c r="E38" s="1176"/>
      <c r="F38" s="1176"/>
    </row>
    <row r="39" spans="1:7" ht="41.25" customHeight="1">
      <c r="A39" s="1209" t="s">
        <v>1039</v>
      </c>
      <c r="B39" s="1210"/>
      <c r="C39" s="1176"/>
      <c r="D39" s="1176" t="s">
        <v>1770</v>
      </c>
      <c r="E39" s="1176"/>
      <c r="F39" s="1211" t="s">
        <v>1040</v>
      </c>
    </row>
    <row r="40" spans="1:7" ht="10.5" customHeight="1">
      <c r="B40" s="1210"/>
      <c r="C40" s="1176"/>
      <c r="D40" s="1954"/>
      <c r="E40" s="1954"/>
      <c r="F40" s="1212" t="s">
        <v>1847</v>
      </c>
    </row>
    <row r="41" spans="1:7" ht="38.25" customHeight="1">
      <c r="A41" s="1209" t="s">
        <v>1771</v>
      </c>
      <c r="B41" s="1176"/>
      <c r="C41" s="1176"/>
      <c r="D41" s="1213" t="s">
        <v>1770</v>
      </c>
      <c r="E41" s="1213"/>
      <c r="F41" s="1211" t="s">
        <v>1245</v>
      </c>
    </row>
    <row r="42" spans="1:7" ht="9.75" customHeight="1">
      <c r="A42" s="1182"/>
      <c r="B42" s="1176"/>
      <c r="C42" s="1176"/>
      <c r="D42" s="1954"/>
      <c r="E42" s="1954"/>
      <c r="F42" s="1212" t="s">
        <v>1847</v>
      </c>
    </row>
    <row r="43" spans="1:7" ht="15.75">
      <c r="A43" s="1176"/>
      <c r="B43" s="1176"/>
      <c r="C43" s="1176"/>
      <c r="D43" s="1176"/>
      <c r="E43" s="1176"/>
      <c r="F43" s="1176"/>
    </row>
    <row r="44" spans="1:7" ht="15.75">
      <c r="A44" s="1176"/>
      <c r="B44" s="1176"/>
      <c r="C44" s="1176"/>
      <c r="D44" s="1176"/>
      <c r="E44" s="1176"/>
      <c r="F44" s="1176"/>
    </row>
    <row r="45" spans="1:7" ht="15.75">
      <c r="A45" s="1176"/>
      <c r="B45" s="1176"/>
      <c r="C45" s="1176"/>
      <c r="D45" s="1176"/>
      <c r="E45" s="1176"/>
      <c r="F45" s="1176"/>
    </row>
    <row r="46" spans="1:7" ht="15.75">
      <c r="A46" s="1176"/>
      <c r="B46" s="1176"/>
      <c r="C46" s="1176"/>
      <c r="D46" s="1176"/>
      <c r="E46" s="1176"/>
      <c r="F46" s="1176"/>
    </row>
    <row r="47" spans="1:7" ht="15.75">
      <c r="A47" s="1176"/>
      <c r="B47" s="1176"/>
      <c r="C47" s="1176"/>
      <c r="D47" s="1176"/>
      <c r="E47" s="1176"/>
      <c r="F47" s="1176"/>
    </row>
    <row r="48" spans="1:7" ht="15.75">
      <c r="A48" s="1176"/>
      <c r="B48" s="1176"/>
      <c r="C48" s="1176"/>
      <c r="D48" s="1176"/>
      <c r="E48" s="1176"/>
      <c r="F48" s="1176"/>
    </row>
    <row r="49" spans="1:6" ht="15.75">
      <c r="A49" s="1176"/>
      <c r="B49" s="1176"/>
      <c r="C49" s="1176"/>
      <c r="D49" s="1176"/>
      <c r="E49" s="1176"/>
      <c r="F49" s="1176"/>
    </row>
  </sheetData>
  <mergeCells count="22">
    <mergeCell ref="C16:D16"/>
    <mergeCell ref="E16:E17"/>
    <mergeCell ref="A38:C38"/>
    <mergeCell ref="D40:E40"/>
    <mergeCell ref="A15:B15"/>
    <mergeCell ref="A3:F3"/>
    <mergeCell ref="A4:F4"/>
    <mergeCell ref="C5:D5"/>
    <mergeCell ref="A14:B14"/>
    <mergeCell ref="C19:F19"/>
    <mergeCell ref="A20:F20"/>
    <mergeCell ref="A16:B16"/>
    <mergeCell ref="G16:G17"/>
    <mergeCell ref="H16:H17"/>
    <mergeCell ref="C17:D17"/>
    <mergeCell ref="C18:F18"/>
    <mergeCell ref="D42:E42"/>
    <mergeCell ref="A21:F21"/>
    <mergeCell ref="A22:F22"/>
    <mergeCell ref="A23:F23"/>
    <mergeCell ref="A24:F24"/>
    <mergeCell ref="E31:F31"/>
  </mergeCells>
  <phoneticPr fontId="116" type="noConversion"/>
  <pageMargins left="0.31" right="0.31" top="0.31" bottom="0.17" header="0.5" footer="0.17"/>
  <pageSetup paperSize="9" scale="84" orientation="portrait" r:id="rId1"/>
  <headerFooter alignWithMargins="0"/>
</worksheet>
</file>

<file path=xl/worksheets/sheet53.xml><?xml version="1.0" encoding="utf-8"?>
<worksheet xmlns="http://schemas.openxmlformats.org/spreadsheetml/2006/main" xmlns:r="http://schemas.openxmlformats.org/officeDocument/2006/relationships">
  <sheetPr>
    <tabColor rgb="FF7030A0"/>
    <pageSetUpPr fitToPage="1"/>
  </sheetPr>
  <dimension ref="A1:H49"/>
  <sheetViews>
    <sheetView view="pageBreakPreview" topLeftCell="A31" zoomScale="93" zoomScaleNormal="100" zoomScaleSheetLayoutView="93" workbookViewId="0">
      <selection activeCell="E36" sqref="E36"/>
    </sheetView>
  </sheetViews>
  <sheetFormatPr defaultColWidth="8.85546875" defaultRowHeight="12.75"/>
  <cols>
    <col min="1" max="1" width="18.7109375" style="1178" customWidth="1"/>
    <col min="2" max="2" width="16" style="1178" customWidth="1"/>
    <col min="3" max="3" width="22.140625" style="1178" customWidth="1"/>
    <col min="4" max="4" width="23.140625" style="1178" customWidth="1"/>
    <col min="5" max="5" width="18.42578125" style="1178" customWidth="1"/>
    <col min="6" max="6" width="17.7109375" style="1178" customWidth="1"/>
    <col min="7" max="7" width="14.42578125" style="1178" customWidth="1"/>
    <col min="8" max="16384" width="8.85546875" style="1178"/>
  </cols>
  <sheetData>
    <row r="1" spans="1:8" s="28" customFormat="1" ht="15.75">
      <c r="F1" s="209" t="s">
        <v>967</v>
      </c>
    </row>
    <row r="2" spans="1:8" s="28" customFormat="1" ht="15">
      <c r="A2" s="30"/>
      <c r="B2" s="30"/>
      <c r="C2" s="30"/>
      <c r="D2" s="30"/>
      <c r="E2" s="30"/>
      <c r="F2" s="30"/>
      <c r="G2" s="32"/>
    </row>
    <row r="3" spans="1:8" s="28" customFormat="1" ht="17.25" customHeight="1">
      <c r="A3" s="1809" t="s">
        <v>1725</v>
      </c>
      <c r="B3" s="1809"/>
      <c r="C3" s="1809"/>
      <c r="D3" s="1809"/>
      <c r="E3" s="1809"/>
      <c r="F3" s="1809"/>
    </row>
    <row r="4" spans="1:8" s="1176" customFormat="1" ht="17.25" customHeight="1">
      <c r="A4" s="1966" t="s">
        <v>1772</v>
      </c>
      <c r="B4" s="1966"/>
      <c r="C4" s="1966"/>
      <c r="D4" s="1966"/>
      <c r="E4" s="1966"/>
      <c r="F4" s="1966"/>
    </row>
    <row r="5" spans="1:8" s="1176" customFormat="1" ht="17.25" customHeight="1">
      <c r="A5" s="1177"/>
      <c r="B5" s="1177"/>
      <c r="C5" s="1966" t="s">
        <v>752</v>
      </c>
      <c r="D5" s="1966"/>
      <c r="E5" s="1177"/>
      <c r="F5" s="1177"/>
    </row>
    <row r="6" spans="1:8" ht="15.75">
      <c r="A6" s="1146" t="s">
        <v>1568</v>
      </c>
      <c r="B6" s="1146"/>
      <c r="C6" s="1146"/>
      <c r="D6" s="1146"/>
      <c r="E6" s="1146"/>
      <c r="F6" s="1146"/>
    </row>
    <row r="7" spans="1:8" s="1179" customFormat="1" ht="15.75" customHeight="1">
      <c r="A7" s="1179" t="s">
        <v>1569</v>
      </c>
    </row>
    <row r="8" spans="1:8" s="1179" customFormat="1" ht="15.75" customHeight="1">
      <c r="A8" s="1179" t="s">
        <v>1570</v>
      </c>
    </row>
    <row r="9" spans="1:8" s="1179" customFormat="1" ht="15.75" customHeight="1">
      <c r="A9" s="1179" t="s">
        <v>1571</v>
      </c>
    </row>
    <row r="10" spans="1:8" s="1179" customFormat="1" ht="15.75" customHeight="1">
      <c r="A10" s="1179" t="s">
        <v>1572</v>
      </c>
    </row>
    <row r="11" spans="1:8" s="1179" customFormat="1" ht="15.75" customHeight="1">
      <c r="A11" s="1179" t="s">
        <v>1573</v>
      </c>
    </row>
    <row r="12" spans="1:8" s="1179" customFormat="1" ht="15.75" customHeight="1">
      <c r="A12" s="1179" t="s">
        <v>1574</v>
      </c>
    </row>
    <row r="13" spans="1:8" ht="31.15" customHeight="1"/>
    <row r="14" spans="1:8" ht="31.15" customHeight="1">
      <c r="A14" s="1967" t="s">
        <v>1575</v>
      </c>
      <c r="B14" s="1967"/>
      <c r="C14" s="1180">
        <v>2016</v>
      </c>
      <c r="D14" s="1181">
        <v>2017</v>
      </c>
      <c r="E14" s="1181">
        <v>2018</v>
      </c>
      <c r="F14" s="1181">
        <v>2018</v>
      </c>
    </row>
    <row r="15" spans="1:8" ht="15.75">
      <c r="A15" s="1956" t="s">
        <v>1576</v>
      </c>
      <c r="B15" s="1956"/>
      <c r="C15" s="1180">
        <v>149</v>
      </c>
      <c r="D15" s="1181">
        <v>147</v>
      </c>
      <c r="E15" s="1181">
        <v>156</v>
      </c>
      <c r="F15" s="1181">
        <f>ROUND((C15+D15+E15)/3,0)</f>
        <v>151</v>
      </c>
      <c r="G15" s="1182">
        <v>156</v>
      </c>
    </row>
    <row r="16" spans="1:8" ht="15.75">
      <c r="A16" s="1962" t="s">
        <v>1577</v>
      </c>
      <c r="B16" s="1952"/>
      <c r="C16" s="1963" t="s">
        <v>842</v>
      </c>
      <c r="D16" s="1963"/>
      <c r="E16" s="1959">
        <f>ROUND((30*8+29*4)/12,0)</f>
        <v>30</v>
      </c>
      <c r="F16" s="1183"/>
      <c r="G16" s="1959"/>
      <c r="H16" s="1959"/>
    </row>
    <row r="17" spans="1:8" ht="16.5" customHeight="1">
      <c r="A17" s="1184"/>
      <c r="B17" s="1185"/>
      <c r="C17" s="1961" t="s">
        <v>1578</v>
      </c>
      <c r="D17" s="1961"/>
      <c r="E17" s="1960"/>
      <c r="F17" s="1183"/>
      <c r="G17" s="1960"/>
      <c r="H17" s="1960"/>
    </row>
    <row r="18" spans="1:8" ht="25.5" customHeight="1">
      <c r="A18" s="1184"/>
      <c r="B18" s="1185"/>
      <c r="C18" s="1964" t="s">
        <v>835</v>
      </c>
      <c r="D18" s="1964"/>
      <c r="E18" s="1964"/>
      <c r="F18" s="1965"/>
    </row>
    <row r="19" spans="1:8" ht="15.75">
      <c r="A19" s="1184"/>
      <c r="B19" s="1185"/>
      <c r="C19" s="1964" t="s">
        <v>836</v>
      </c>
      <c r="D19" s="1964"/>
      <c r="E19" s="1964"/>
      <c r="F19" s="1965"/>
      <c r="G19" s="1146"/>
    </row>
    <row r="20" spans="1:8" s="1186" customFormat="1" ht="15.75">
      <c r="A20" s="1948" t="s">
        <v>843</v>
      </c>
      <c r="B20" s="1949"/>
      <c r="C20" s="1949"/>
      <c r="D20" s="1949"/>
      <c r="E20" s="1949"/>
      <c r="F20" s="1950"/>
      <c r="G20" s="1146"/>
    </row>
    <row r="21" spans="1:8" ht="31.5" hidden="1" customHeight="1">
      <c r="A21" s="1951" t="s">
        <v>1762</v>
      </c>
      <c r="B21" s="1952"/>
      <c r="C21" s="1952"/>
      <c r="D21" s="1949"/>
      <c r="E21" s="1949"/>
      <c r="F21" s="1950"/>
      <c r="G21" s="1146"/>
    </row>
    <row r="22" spans="1:8" s="1186" customFormat="1" ht="15.75" hidden="1">
      <c r="A22" s="1948" t="s">
        <v>1763</v>
      </c>
      <c r="B22" s="1949"/>
      <c r="C22" s="1949"/>
      <c r="D22" s="1949"/>
      <c r="E22" s="1949"/>
      <c r="F22" s="1950"/>
      <c r="G22" s="1146"/>
    </row>
    <row r="23" spans="1:8" ht="18" hidden="1" customHeight="1">
      <c r="A23" s="1951" t="s">
        <v>1764</v>
      </c>
      <c r="B23" s="1952"/>
      <c r="C23" s="1952"/>
      <c r="D23" s="1952"/>
      <c r="E23" s="1952"/>
      <c r="F23" s="1953"/>
      <c r="G23" s="1146"/>
    </row>
    <row r="24" spans="1:8" s="1186" customFormat="1" ht="20.25" hidden="1" customHeight="1">
      <c r="A24" s="1955" t="s">
        <v>1765</v>
      </c>
      <c r="B24" s="1956"/>
      <c r="C24" s="1956"/>
      <c r="D24" s="1956"/>
      <c r="E24" s="1956"/>
      <c r="F24" s="1956"/>
      <c r="G24" s="1146"/>
    </row>
    <row r="25" spans="1:8" s="1186" customFormat="1" ht="15.75">
      <c r="A25" s="1187"/>
      <c r="B25" s="1188"/>
      <c r="C25" s="1188"/>
      <c r="D25" s="1188"/>
      <c r="E25" s="1188"/>
      <c r="F25" s="1188"/>
      <c r="G25" s="1146"/>
    </row>
    <row r="26" spans="1:8" s="1186" customFormat="1" ht="78" customHeight="1">
      <c r="A26" s="1189" t="s">
        <v>1766</v>
      </c>
      <c r="B26" s="1189" t="s">
        <v>1579</v>
      </c>
      <c r="C26" s="1189" t="s">
        <v>1767</v>
      </c>
      <c r="D26" s="1190" t="s">
        <v>1580</v>
      </c>
      <c r="E26" s="1191"/>
    </row>
    <row r="27" spans="1:8" s="1195" customFormat="1" ht="15" customHeight="1">
      <c r="A27" s="1192" t="s">
        <v>1581</v>
      </c>
      <c r="B27" s="1192" t="s">
        <v>1270</v>
      </c>
      <c r="C27" s="1192" t="s">
        <v>1271</v>
      </c>
      <c r="D27" s="1193" t="s">
        <v>1272</v>
      </c>
      <c r="E27" s="1194"/>
    </row>
    <row r="28" spans="1:8" ht="15.75">
      <c r="A28" s="307">
        <f>B28-C28-D28</f>
        <v>4530</v>
      </c>
      <c r="B28" s="1196">
        <f>30*151</f>
        <v>4530</v>
      </c>
      <c r="C28" s="1197"/>
      <c r="D28" s="1198"/>
      <c r="E28" s="1185"/>
    </row>
    <row r="29" spans="1:8" s="1200" customFormat="1" ht="15.75">
      <c r="A29" s="1188"/>
      <c r="B29" s="1188"/>
      <c r="C29" s="1185"/>
      <c r="D29" s="1199"/>
      <c r="E29" s="1185"/>
      <c r="F29" s="1185"/>
    </row>
    <row r="30" spans="1:8" s="1186" customFormat="1" ht="126">
      <c r="A30" s="1189" t="s">
        <v>1768</v>
      </c>
      <c r="B30" s="1189" t="s">
        <v>1582</v>
      </c>
      <c r="C30" s="1189" t="s">
        <v>1769</v>
      </c>
      <c r="D30" s="1190" t="s">
        <v>1580</v>
      </c>
      <c r="E30" s="1171"/>
      <c r="F30" s="1201"/>
    </row>
    <row r="31" spans="1:8" s="1195" customFormat="1" ht="15" customHeight="1">
      <c r="A31" s="1192" t="s">
        <v>1581</v>
      </c>
      <c r="B31" s="1192" t="s">
        <v>1270</v>
      </c>
      <c r="C31" s="1192" t="s">
        <v>1271</v>
      </c>
      <c r="D31" s="1192" t="s">
        <v>1272</v>
      </c>
      <c r="E31" s="1957"/>
      <c r="F31" s="1957"/>
    </row>
    <row r="32" spans="1:8" ht="15.75">
      <c r="A32" s="307">
        <f>B32-C32-D32</f>
        <v>0</v>
      </c>
      <c r="B32" s="1196"/>
      <c r="C32" s="1196"/>
      <c r="D32" s="1196"/>
      <c r="E32" s="1175"/>
      <c r="F32" s="1200"/>
    </row>
    <row r="33" spans="1:7" ht="36.75" customHeight="1">
      <c r="A33" s="1202"/>
      <c r="B33" s="1188"/>
      <c r="C33" s="1188"/>
      <c r="D33" s="1188"/>
      <c r="E33" s="1188"/>
      <c r="F33" s="1188"/>
      <c r="G33" s="1146"/>
    </row>
    <row r="34" spans="1:7" ht="63">
      <c r="A34" s="1147" t="s">
        <v>218</v>
      </c>
      <c r="B34" s="1147" t="s">
        <v>838</v>
      </c>
      <c r="C34" s="1147" t="s">
        <v>839</v>
      </c>
      <c r="D34" s="1147" t="s">
        <v>840</v>
      </c>
      <c r="E34" s="1147" t="s">
        <v>841</v>
      </c>
      <c r="F34" s="1147" t="s">
        <v>1583</v>
      </c>
      <c r="G34" s="1186"/>
    </row>
    <row r="35" spans="1:7" ht="24" customHeight="1">
      <c r="A35" s="1203" t="s">
        <v>1584</v>
      </c>
      <c r="B35" s="1204">
        <f>E16</f>
        <v>30</v>
      </c>
      <c r="C35" s="1181">
        <f>ROUND(E35/B35,0)</f>
        <v>151</v>
      </c>
      <c r="D35" s="1205">
        <v>158.33000000000001</v>
      </c>
      <c r="E35" s="1196">
        <f>A28</f>
        <v>4530</v>
      </c>
      <c r="F35" s="1206">
        <f>ROUND(D35*E35,2)</f>
        <v>717234.9</v>
      </c>
      <c r="G35" s="1214">
        <f ca="1">'[8]340 пит прих 2017(7-10)'!E36+'340 пит прих 2019(11-18) '!E35</f>
        <v>5118</v>
      </c>
    </row>
    <row r="36" spans="1:7" ht="47.25">
      <c r="A36" s="1203" t="s">
        <v>1585</v>
      </c>
      <c r="B36" s="1181"/>
      <c r="C36" s="1181" t="e">
        <f>ROUND(E36/B36,0)</f>
        <v>#DIV/0!</v>
      </c>
      <c r="D36" s="1205">
        <f>ROUND(D35*0.1,2)</f>
        <v>15.83</v>
      </c>
      <c r="E36" s="1196">
        <f>A32</f>
        <v>0</v>
      </c>
      <c r="F36" s="1206">
        <f>ROUND(D36*E36,2)</f>
        <v>0</v>
      </c>
    </row>
    <row r="37" spans="1:7" ht="15.75">
      <c r="A37" s="1207" t="s">
        <v>1527</v>
      </c>
      <c r="B37" s="1181"/>
      <c r="C37" s="1181"/>
      <c r="D37" s="1181"/>
      <c r="E37" s="1181"/>
      <c r="F37" s="1208">
        <f>F35+F36</f>
        <v>717234.9</v>
      </c>
      <c r="G37" s="1215">
        <f ca="1">'[8]340 пит прих 2017(7-10)'!F38+'340 пит прих 2019(11-18) '!F37</f>
        <v>787359.78</v>
      </c>
    </row>
    <row r="38" spans="1:7" ht="15.75">
      <c r="A38" s="1958"/>
      <c r="B38" s="1958"/>
      <c r="C38" s="1958"/>
      <c r="D38" s="1176"/>
      <c r="E38" s="1176"/>
      <c r="F38" s="1176"/>
    </row>
    <row r="39" spans="1:7" ht="41.25" customHeight="1">
      <c r="A39" s="1209" t="s">
        <v>1039</v>
      </c>
      <c r="B39" s="1210"/>
      <c r="C39" s="1176"/>
      <c r="D39" s="1176" t="s">
        <v>1770</v>
      </c>
      <c r="E39" s="1176"/>
      <c r="F39" s="1211" t="s">
        <v>1040</v>
      </c>
    </row>
    <row r="40" spans="1:7" ht="10.5" customHeight="1">
      <c r="B40" s="1210"/>
      <c r="C40" s="1176"/>
      <c r="D40" s="1954"/>
      <c r="E40" s="1954"/>
      <c r="F40" s="1212" t="s">
        <v>1847</v>
      </c>
    </row>
    <row r="41" spans="1:7" ht="38.25" customHeight="1">
      <c r="A41" s="1209" t="s">
        <v>1771</v>
      </c>
      <c r="B41" s="1176"/>
      <c r="C41" s="1176"/>
      <c r="D41" s="1213" t="s">
        <v>1770</v>
      </c>
      <c r="E41" s="1213"/>
      <c r="F41" s="1211" t="s">
        <v>1245</v>
      </c>
    </row>
    <row r="42" spans="1:7" ht="9.75" customHeight="1">
      <c r="A42" s="1182"/>
      <c r="B42" s="1176"/>
      <c r="C42" s="1176"/>
      <c r="D42" s="1954"/>
      <c r="E42" s="1954"/>
      <c r="F42" s="1212" t="s">
        <v>1847</v>
      </c>
    </row>
    <row r="43" spans="1:7" ht="15.75">
      <c r="A43" s="1176"/>
      <c r="B43" s="1176"/>
      <c r="C43" s="1176"/>
      <c r="D43" s="1176"/>
      <c r="E43" s="1176"/>
      <c r="F43" s="1176"/>
    </row>
    <row r="44" spans="1:7" ht="15.75">
      <c r="A44" s="1176"/>
      <c r="B44" s="1176"/>
      <c r="C44" s="1176"/>
      <c r="D44" s="1176"/>
      <c r="E44" s="1176"/>
      <c r="F44" s="1176"/>
    </row>
    <row r="45" spans="1:7" ht="15.75">
      <c r="A45" s="1176"/>
      <c r="B45" s="1176"/>
      <c r="C45" s="1176"/>
      <c r="D45" s="1176"/>
      <c r="E45" s="1176"/>
      <c r="F45" s="1176"/>
    </row>
    <row r="46" spans="1:7" ht="15.75">
      <c r="A46" s="1176"/>
      <c r="B46" s="1176"/>
      <c r="C46" s="1176"/>
      <c r="D46" s="1176"/>
      <c r="E46" s="1176"/>
      <c r="F46" s="1176"/>
    </row>
    <row r="47" spans="1:7" ht="15.75">
      <c r="A47" s="1176"/>
      <c r="B47" s="1176"/>
      <c r="C47" s="1176"/>
      <c r="D47" s="1176"/>
      <c r="E47" s="1176"/>
      <c r="F47" s="1176"/>
    </row>
    <row r="48" spans="1:7" ht="15.75">
      <c r="A48" s="1176"/>
      <c r="B48" s="1176"/>
      <c r="C48" s="1176"/>
      <c r="D48" s="1176"/>
      <c r="E48" s="1176"/>
      <c r="F48" s="1176"/>
    </row>
    <row r="49" spans="1:6" ht="15.75">
      <c r="A49" s="1176"/>
      <c r="B49" s="1176"/>
      <c r="C49" s="1176"/>
      <c r="D49" s="1176"/>
      <c r="E49" s="1176"/>
      <c r="F49" s="1176"/>
    </row>
  </sheetData>
  <mergeCells count="22">
    <mergeCell ref="A15:B15"/>
    <mergeCell ref="C5:D5"/>
    <mergeCell ref="A3:F3"/>
    <mergeCell ref="A4:F4"/>
    <mergeCell ref="A14:B14"/>
    <mergeCell ref="D42:E42"/>
    <mergeCell ref="A21:F21"/>
    <mergeCell ref="A22:F22"/>
    <mergeCell ref="A23:F23"/>
    <mergeCell ref="A24:F24"/>
    <mergeCell ref="E31:F31"/>
    <mergeCell ref="A38:C38"/>
    <mergeCell ref="D40:E40"/>
    <mergeCell ref="A20:F20"/>
    <mergeCell ref="G16:G17"/>
    <mergeCell ref="H16:H17"/>
    <mergeCell ref="C17:D17"/>
    <mergeCell ref="C18:F18"/>
    <mergeCell ref="C19:F19"/>
    <mergeCell ref="A16:B16"/>
    <mergeCell ref="C16:D16"/>
    <mergeCell ref="E16:E17"/>
  </mergeCells>
  <phoneticPr fontId="116" type="noConversion"/>
  <pageMargins left="0.31" right="0.31" top="0.31" bottom="0.17" header="0.5" footer="0.17"/>
  <pageSetup paperSize="9" scale="84" orientation="portrait" r:id="rId1"/>
  <headerFooter alignWithMargins="0"/>
</worksheet>
</file>

<file path=xl/worksheets/sheet54.xml><?xml version="1.0" encoding="utf-8"?>
<worksheet xmlns="http://schemas.openxmlformats.org/spreadsheetml/2006/main" xmlns:r="http://schemas.openxmlformats.org/officeDocument/2006/relationships">
  <sheetPr>
    <tabColor rgb="FF7030A0"/>
    <pageSetUpPr fitToPage="1"/>
  </sheetPr>
  <dimension ref="A1:I49"/>
  <sheetViews>
    <sheetView view="pageBreakPreview" topLeftCell="A31" zoomScale="98" zoomScaleNormal="100" zoomScaleSheetLayoutView="98" workbookViewId="0">
      <selection activeCell="C14" sqref="C14:F15"/>
    </sheetView>
  </sheetViews>
  <sheetFormatPr defaultColWidth="8.85546875" defaultRowHeight="12.75"/>
  <cols>
    <col min="1" max="1" width="18.7109375" style="1178" customWidth="1"/>
    <col min="2" max="2" width="16" style="1178" customWidth="1"/>
    <col min="3" max="3" width="22.140625" style="1178" customWidth="1"/>
    <col min="4" max="4" width="24.28515625" style="1178" customWidth="1"/>
    <col min="5" max="5" width="18.42578125" style="1178" customWidth="1"/>
    <col min="6" max="6" width="17.7109375" style="1178" customWidth="1"/>
    <col min="7" max="7" width="10.140625" style="1178" bestFit="1" customWidth="1"/>
    <col min="8" max="16384" width="8.85546875" style="1178"/>
  </cols>
  <sheetData>
    <row r="1" spans="1:7" s="28" customFormat="1" ht="15.75">
      <c r="F1" s="209" t="s">
        <v>967</v>
      </c>
    </row>
    <row r="2" spans="1:7" s="28" customFormat="1" ht="15">
      <c r="A2" s="30"/>
      <c r="B2" s="30"/>
      <c r="C2" s="30"/>
      <c r="D2" s="30"/>
      <c r="E2" s="30"/>
      <c r="F2" s="30"/>
      <c r="G2" s="32"/>
    </row>
    <row r="3" spans="1:7" s="28" customFormat="1" ht="17.25" customHeight="1">
      <c r="A3" s="1809" t="s">
        <v>1725</v>
      </c>
      <c r="B3" s="1809"/>
      <c r="C3" s="1809"/>
      <c r="D3" s="1809"/>
      <c r="E3" s="1809"/>
      <c r="F3" s="1809"/>
    </row>
    <row r="4" spans="1:7" s="1176" customFormat="1" ht="17.25" customHeight="1">
      <c r="A4" s="1966" t="s">
        <v>1773</v>
      </c>
      <c r="B4" s="1966"/>
      <c r="C4" s="1966"/>
      <c r="D4" s="1966"/>
      <c r="E4" s="1966"/>
      <c r="F4" s="1966"/>
    </row>
    <row r="5" spans="1:7" s="1176" customFormat="1" ht="17.25" customHeight="1">
      <c r="A5" s="1177"/>
      <c r="B5" s="1177"/>
      <c r="C5" s="1966" t="s">
        <v>752</v>
      </c>
      <c r="D5" s="1966"/>
      <c r="E5" s="1177"/>
      <c r="F5" s="1177"/>
    </row>
    <row r="6" spans="1:7" ht="15.75">
      <c r="A6" s="1146" t="s">
        <v>1568</v>
      </c>
      <c r="B6" s="1146"/>
      <c r="C6" s="1146"/>
      <c r="D6" s="1146"/>
      <c r="E6" s="1146"/>
      <c r="F6" s="1146"/>
    </row>
    <row r="7" spans="1:7" s="1179" customFormat="1" ht="15.75" customHeight="1">
      <c r="A7" s="1179" t="s">
        <v>1569</v>
      </c>
    </row>
    <row r="8" spans="1:7" s="1179" customFormat="1" ht="15.75" customHeight="1">
      <c r="A8" s="1179" t="s">
        <v>1570</v>
      </c>
    </row>
    <row r="9" spans="1:7" s="1179" customFormat="1" ht="15.75" customHeight="1">
      <c r="A9" s="1179" t="s">
        <v>1571</v>
      </c>
    </row>
    <row r="10" spans="1:7" s="1179" customFormat="1" ht="15.75" customHeight="1">
      <c r="A10" s="1179" t="s">
        <v>1572</v>
      </c>
    </row>
    <row r="11" spans="1:7" s="1179" customFormat="1" ht="15.75" customHeight="1">
      <c r="A11" s="1179" t="s">
        <v>1573</v>
      </c>
    </row>
    <row r="12" spans="1:7" s="1179" customFormat="1" ht="15.75" customHeight="1">
      <c r="A12" s="1179" t="s">
        <v>1574</v>
      </c>
    </row>
    <row r="13" spans="1:7" ht="31.15" customHeight="1"/>
    <row r="14" spans="1:7" ht="31.15" customHeight="1">
      <c r="A14" s="1967" t="s">
        <v>1575</v>
      </c>
      <c r="B14" s="1967"/>
      <c r="C14" s="1180">
        <v>2016</v>
      </c>
      <c r="D14" s="1181">
        <v>2017</v>
      </c>
      <c r="E14" s="1181">
        <v>2018</v>
      </c>
      <c r="F14" s="1181">
        <v>2019</v>
      </c>
    </row>
    <row r="15" spans="1:7" ht="15.75">
      <c r="A15" s="1956" t="s">
        <v>1576</v>
      </c>
      <c r="B15" s="1956"/>
      <c r="C15" s="1180">
        <v>157</v>
      </c>
      <c r="D15" s="1181">
        <v>158</v>
      </c>
      <c r="E15" s="1181">
        <v>164</v>
      </c>
      <c r="F15" s="1181">
        <f>ROUND((C15+D15+E15)/3,0)</f>
        <v>160</v>
      </c>
      <c r="G15" s="1182">
        <v>164</v>
      </c>
    </row>
    <row r="16" spans="1:7" ht="15.75">
      <c r="A16" s="1962" t="s">
        <v>1577</v>
      </c>
      <c r="B16" s="1952"/>
      <c r="C16" s="1963" t="s">
        <v>844</v>
      </c>
      <c r="D16" s="1963"/>
      <c r="E16" s="1959">
        <f>ROUND((12*8+12*4)/12,0)</f>
        <v>12</v>
      </c>
      <c r="F16" s="1183"/>
      <c r="G16" s="1216"/>
    </row>
    <row r="17" spans="1:9" ht="28.15" customHeight="1">
      <c r="A17" s="1184"/>
      <c r="B17" s="1185"/>
      <c r="C17" s="1961" t="s">
        <v>1578</v>
      </c>
      <c r="D17" s="1961"/>
      <c r="E17" s="1960"/>
      <c r="F17" s="1183"/>
      <c r="H17" s="1959"/>
      <c r="I17" s="1959"/>
    </row>
    <row r="18" spans="1:9" ht="30" customHeight="1">
      <c r="A18" s="1184"/>
      <c r="B18" s="1185"/>
      <c r="C18" s="1964" t="s">
        <v>835</v>
      </c>
      <c r="D18" s="1964"/>
      <c r="E18" s="1964"/>
      <c r="F18" s="1965"/>
      <c r="H18" s="1960"/>
      <c r="I18" s="1960"/>
    </row>
    <row r="19" spans="1:9" ht="15.75">
      <c r="A19" s="1184"/>
      <c r="B19" s="1185"/>
      <c r="C19" s="1964" t="s">
        <v>836</v>
      </c>
      <c r="D19" s="1964"/>
      <c r="E19" s="1964"/>
      <c r="F19" s="1965"/>
      <c r="G19" s="1146"/>
    </row>
    <row r="20" spans="1:9" s="1186" customFormat="1" ht="15.75">
      <c r="A20" s="1948" t="s">
        <v>845</v>
      </c>
      <c r="B20" s="1949"/>
      <c r="C20" s="1949"/>
      <c r="D20" s="1949"/>
      <c r="E20" s="1949"/>
      <c r="F20" s="1950"/>
      <c r="G20" s="1146"/>
    </row>
    <row r="21" spans="1:9" ht="31.5" hidden="1" customHeight="1">
      <c r="A21" s="1951" t="s">
        <v>1762</v>
      </c>
      <c r="B21" s="1952"/>
      <c r="C21" s="1952"/>
      <c r="D21" s="1949"/>
      <c r="E21" s="1949"/>
      <c r="F21" s="1950"/>
      <c r="G21" s="1146"/>
    </row>
    <row r="22" spans="1:9" s="1186" customFormat="1" ht="15.75" hidden="1">
      <c r="A22" s="1948" t="s">
        <v>1763</v>
      </c>
      <c r="B22" s="1949"/>
      <c r="C22" s="1949"/>
      <c r="D22" s="1949"/>
      <c r="E22" s="1949"/>
      <c r="F22" s="1950"/>
      <c r="G22" s="1146"/>
    </row>
    <row r="23" spans="1:9" ht="18" hidden="1" customHeight="1">
      <c r="A23" s="1951" t="s">
        <v>1764</v>
      </c>
      <c r="B23" s="1952"/>
      <c r="C23" s="1952"/>
      <c r="D23" s="1952"/>
      <c r="E23" s="1952"/>
      <c r="F23" s="1953"/>
      <c r="G23" s="1146"/>
    </row>
    <row r="24" spans="1:9" s="1186" customFormat="1" ht="20.25" hidden="1" customHeight="1">
      <c r="A24" s="1955" t="s">
        <v>1765</v>
      </c>
      <c r="B24" s="1956"/>
      <c r="C24" s="1956"/>
      <c r="D24" s="1956"/>
      <c r="E24" s="1956"/>
      <c r="F24" s="1956"/>
      <c r="G24" s="1146"/>
    </row>
    <row r="25" spans="1:9" s="1186" customFormat="1" ht="15.75">
      <c r="A25" s="1187"/>
      <c r="B25" s="1188"/>
      <c r="C25" s="1188"/>
      <c r="D25" s="1188"/>
      <c r="E25" s="1188"/>
      <c r="F25" s="1188"/>
      <c r="G25" s="1146"/>
    </row>
    <row r="26" spans="1:9" s="1186" customFormat="1" ht="78" customHeight="1">
      <c r="A26" s="1189" t="s">
        <v>1766</v>
      </c>
      <c r="B26" s="1189" t="s">
        <v>1579</v>
      </c>
      <c r="C26" s="1189" t="s">
        <v>1767</v>
      </c>
      <c r="D26" s="1190" t="s">
        <v>1580</v>
      </c>
      <c r="E26" s="1191"/>
    </row>
    <row r="27" spans="1:9" s="1195" customFormat="1" ht="15" customHeight="1">
      <c r="A27" s="1192" t="s">
        <v>1581</v>
      </c>
      <c r="B27" s="1192" t="s">
        <v>1270</v>
      </c>
      <c r="C27" s="1192" t="s">
        <v>1271</v>
      </c>
      <c r="D27" s="1193" t="s">
        <v>1272</v>
      </c>
      <c r="E27" s="1194"/>
    </row>
    <row r="28" spans="1:9" ht="15.75">
      <c r="A28" s="307">
        <f>B28-C28-D28</f>
        <v>1920</v>
      </c>
      <c r="B28" s="1196">
        <f>12*160</f>
        <v>1920</v>
      </c>
      <c r="C28" s="1197"/>
      <c r="D28" s="1198"/>
      <c r="E28" s="1185"/>
    </row>
    <row r="29" spans="1:9" s="1200" customFormat="1" ht="15.75">
      <c r="A29" s="1188"/>
      <c r="B29" s="1188"/>
      <c r="C29" s="1185"/>
      <c r="D29" s="1199"/>
      <c r="E29" s="1185"/>
      <c r="F29" s="1185"/>
    </row>
    <row r="30" spans="1:9" s="1186" customFormat="1" ht="126">
      <c r="A30" s="1189" t="s">
        <v>1768</v>
      </c>
      <c r="B30" s="1189" t="s">
        <v>1582</v>
      </c>
      <c r="C30" s="1189" t="s">
        <v>1769</v>
      </c>
      <c r="D30" s="1190" t="s">
        <v>1580</v>
      </c>
      <c r="E30" s="1171"/>
      <c r="F30" s="1201"/>
    </row>
    <row r="31" spans="1:9" s="1195" customFormat="1" ht="15" customHeight="1">
      <c r="A31" s="1192" t="s">
        <v>1581</v>
      </c>
      <c r="B31" s="1192" t="s">
        <v>1270</v>
      </c>
      <c r="C31" s="1192" t="s">
        <v>1271</v>
      </c>
      <c r="D31" s="1192" t="s">
        <v>1272</v>
      </c>
      <c r="E31" s="1957"/>
      <c r="F31" s="1957"/>
    </row>
    <row r="32" spans="1:9" ht="15.75">
      <c r="A32" s="307">
        <f>B32-C32-D32</f>
        <v>0</v>
      </c>
      <c r="B32" s="1196"/>
      <c r="C32" s="1196"/>
      <c r="D32" s="1196"/>
      <c r="E32" s="1175"/>
      <c r="F32" s="1200"/>
    </row>
    <row r="33" spans="1:7" ht="36.75" customHeight="1">
      <c r="A33" s="1202"/>
      <c r="B33" s="1188"/>
      <c r="C33" s="1188"/>
      <c r="D33" s="1188"/>
      <c r="E33" s="1188"/>
      <c r="F33" s="1188"/>
      <c r="G33" s="1146"/>
    </row>
    <row r="34" spans="1:7" ht="63">
      <c r="A34" s="1147" t="s">
        <v>218</v>
      </c>
      <c r="B34" s="1147" t="s">
        <v>838</v>
      </c>
      <c r="C34" s="1147" t="s">
        <v>839</v>
      </c>
      <c r="D34" s="1147" t="s">
        <v>840</v>
      </c>
      <c r="E34" s="1147" t="s">
        <v>841</v>
      </c>
      <c r="F34" s="1147" t="s">
        <v>1583</v>
      </c>
      <c r="G34" s="1186"/>
    </row>
    <row r="35" spans="1:7" ht="24" customHeight="1">
      <c r="A35" s="1203" t="s">
        <v>1584</v>
      </c>
      <c r="B35" s="1204">
        <f>E16</f>
        <v>12</v>
      </c>
      <c r="C35" s="1181">
        <f>ROUND(E35/B35,0)</f>
        <v>160</v>
      </c>
      <c r="D35" s="1205">
        <v>212.25</v>
      </c>
      <c r="E35" s="1196">
        <f>A28</f>
        <v>1920</v>
      </c>
      <c r="F35" s="1206">
        <f>ROUND(D35*E35,2)</f>
        <v>407520</v>
      </c>
    </row>
    <row r="36" spans="1:7" ht="47.25">
      <c r="A36" s="1203" t="s">
        <v>1585</v>
      </c>
      <c r="B36" s="1181"/>
      <c r="C36" s="1181" t="e">
        <f>ROUND(E36/B36,0)</f>
        <v>#DIV/0!</v>
      </c>
      <c r="D36" s="1205">
        <f>ROUND(D35*0.1,2)</f>
        <v>21.23</v>
      </c>
      <c r="E36" s="1196">
        <f>A32</f>
        <v>0</v>
      </c>
      <c r="F36" s="1206">
        <f>ROUND(D36*E36,2)</f>
        <v>0</v>
      </c>
    </row>
    <row r="37" spans="1:7" ht="15.75">
      <c r="A37" s="1207" t="s">
        <v>1527</v>
      </c>
      <c r="B37" s="1181"/>
      <c r="C37" s="1181"/>
      <c r="D37" s="1181"/>
      <c r="E37" s="1181"/>
      <c r="F37" s="1208">
        <f>F35+F36</f>
        <v>407520</v>
      </c>
    </row>
    <row r="38" spans="1:7" ht="22.5" customHeight="1">
      <c r="A38" s="1958"/>
      <c r="B38" s="1958"/>
      <c r="C38" s="1958"/>
      <c r="D38" s="1176"/>
      <c r="E38" s="1176"/>
      <c r="F38" s="1176"/>
    </row>
    <row r="39" spans="1:7" ht="38.25" customHeight="1">
      <c r="A39" s="1209" t="s">
        <v>1039</v>
      </c>
      <c r="B39" s="1210"/>
      <c r="C39" s="1176"/>
      <c r="D39" s="1176" t="s">
        <v>1770</v>
      </c>
      <c r="E39" s="1176"/>
      <c r="F39" s="1211" t="s">
        <v>1040</v>
      </c>
    </row>
    <row r="40" spans="1:7" ht="9.75" customHeight="1">
      <c r="B40" s="1210"/>
      <c r="C40" s="1176"/>
      <c r="D40" s="1954"/>
      <c r="E40" s="1954"/>
      <c r="F40" s="1212" t="s">
        <v>1847</v>
      </c>
    </row>
    <row r="41" spans="1:7" ht="15.75">
      <c r="A41" s="1209" t="s">
        <v>1771</v>
      </c>
      <c r="B41" s="1176"/>
      <c r="C41" s="1176"/>
      <c r="D41" s="1213" t="s">
        <v>1770</v>
      </c>
      <c r="E41" s="1213"/>
      <c r="F41" s="1211" t="s">
        <v>1245</v>
      </c>
    </row>
    <row r="42" spans="1:7" ht="15.75">
      <c r="A42" s="1182"/>
      <c r="B42" s="1176"/>
      <c r="C42" s="1176"/>
      <c r="D42" s="1954"/>
      <c r="E42" s="1954"/>
      <c r="F42" s="1212" t="s">
        <v>1847</v>
      </c>
    </row>
    <row r="43" spans="1:7" ht="15.75">
      <c r="A43" s="1176"/>
      <c r="B43" s="1176"/>
      <c r="C43" s="1176"/>
      <c r="D43" s="1176"/>
      <c r="E43" s="1176"/>
      <c r="F43" s="1176"/>
    </row>
    <row r="44" spans="1:7" ht="15.75">
      <c r="A44" s="1176"/>
      <c r="B44" s="1176"/>
      <c r="C44" s="1176"/>
      <c r="D44" s="1176"/>
      <c r="E44" s="1176"/>
      <c r="F44" s="1176"/>
    </row>
    <row r="45" spans="1:7" ht="15.75">
      <c r="A45" s="1176"/>
      <c r="B45" s="1176"/>
      <c r="C45" s="1176"/>
      <c r="D45" s="1176"/>
      <c r="E45" s="1176"/>
      <c r="F45" s="1176"/>
    </row>
    <row r="46" spans="1:7" ht="15.75">
      <c r="A46" s="1176"/>
      <c r="B46" s="1176"/>
      <c r="C46" s="1176"/>
      <c r="D46" s="1176"/>
      <c r="E46" s="1176"/>
      <c r="F46" s="1176"/>
    </row>
    <row r="47" spans="1:7" ht="15.75">
      <c r="A47" s="1176"/>
      <c r="B47" s="1176"/>
      <c r="C47" s="1176"/>
      <c r="D47" s="1176"/>
      <c r="E47" s="1176"/>
      <c r="F47" s="1176"/>
    </row>
    <row r="48" spans="1:7" ht="15.75">
      <c r="A48" s="1176"/>
      <c r="B48" s="1176"/>
      <c r="C48" s="1176"/>
      <c r="D48" s="1176"/>
      <c r="E48" s="1176"/>
      <c r="F48" s="1176"/>
    </row>
    <row r="49" spans="1:6" ht="15.75">
      <c r="A49" s="1176"/>
      <c r="B49" s="1176"/>
      <c r="C49" s="1176"/>
      <c r="D49" s="1176"/>
      <c r="E49" s="1176"/>
      <c r="F49" s="1176"/>
    </row>
  </sheetData>
  <mergeCells count="22">
    <mergeCell ref="A21:F21"/>
    <mergeCell ref="A20:F20"/>
    <mergeCell ref="A3:F3"/>
    <mergeCell ref="A4:F4"/>
    <mergeCell ref="A14:B14"/>
    <mergeCell ref="A15:B15"/>
    <mergeCell ref="C5:D5"/>
    <mergeCell ref="A16:B16"/>
    <mergeCell ref="C16:D16"/>
    <mergeCell ref="D42:E42"/>
    <mergeCell ref="A22:F22"/>
    <mergeCell ref="A23:F23"/>
    <mergeCell ref="A24:F24"/>
    <mergeCell ref="E31:F31"/>
    <mergeCell ref="A38:C38"/>
    <mergeCell ref="D40:E40"/>
    <mergeCell ref="I17:I18"/>
    <mergeCell ref="C18:F18"/>
    <mergeCell ref="H17:H18"/>
    <mergeCell ref="C19:F19"/>
    <mergeCell ref="E16:E17"/>
    <mergeCell ref="C17:D17"/>
  </mergeCells>
  <phoneticPr fontId="116" type="noConversion"/>
  <pageMargins left="0.31" right="0.31" top="0.31" bottom="0.17" header="0.5" footer="0.17"/>
  <pageSetup paperSize="9" scale="83" orientation="portrait" r:id="rId1"/>
  <headerFooter alignWithMargins="0"/>
</worksheet>
</file>

<file path=xl/worksheets/sheet55.xml><?xml version="1.0" encoding="utf-8"?>
<worksheet xmlns="http://schemas.openxmlformats.org/spreadsheetml/2006/main" xmlns:r="http://schemas.openxmlformats.org/officeDocument/2006/relationships">
  <sheetPr>
    <tabColor rgb="FF7030A0"/>
    <pageSetUpPr fitToPage="1"/>
  </sheetPr>
  <dimension ref="A1:I49"/>
  <sheetViews>
    <sheetView view="pageBreakPreview" topLeftCell="A34" zoomScale="98" zoomScaleNormal="100" zoomScaleSheetLayoutView="98" workbookViewId="0">
      <selection activeCell="C35" sqref="C35"/>
    </sheetView>
  </sheetViews>
  <sheetFormatPr defaultColWidth="8.85546875" defaultRowHeight="12.75"/>
  <cols>
    <col min="1" max="1" width="18.7109375" style="1178" customWidth="1"/>
    <col min="2" max="2" width="16" style="1178" customWidth="1"/>
    <col min="3" max="3" width="22.140625" style="1178" customWidth="1"/>
    <col min="4" max="4" width="24.28515625" style="1178" customWidth="1"/>
    <col min="5" max="5" width="18.42578125" style="1178" customWidth="1"/>
    <col min="6" max="6" width="17.7109375" style="1178" customWidth="1"/>
    <col min="7" max="7" width="10.140625" style="1178" bestFit="1" customWidth="1"/>
    <col min="8" max="16384" width="8.85546875" style="1178"/>
  </cols>
  <sheetData>
    <row r="1" spans="1:9" s="28" customFormat="1" ht="15.75">
      <c r="F1" s="209" t="s">
        <v>967</v>
      </c>
    </row>
    <row r="2" spans="1:9" s="28" customFormat="1" ht="15">
      <c r="A2" s="30"/>
      <c r="B2" s="30"/>
      <c r="C2" s="30"/>
      <c r="D2" s="30"/>
      <c r="E2" s="30"/>
      <c r="F2" s="30"/>
      <c r="G2" s="32"/>
    </row>
    <row r="3" spans="1:9" s="28" customFormat="1" ht="17.25" customHeight="1">
      <c r="A3" s="1809" t="s">
        <v>1725</v>
      </c>
      <c r="B3" s="1809"/>
      <c r="C3" s="1809"/>
      <c r="D3" s="1809"/>
      <c r="E3" s="1809"/>
      <c r="F3" s="1809"/>
    </row>
    <row r="4" spans="1:9" s="1176" customFormat="1" ht="17.25" customHeight="1">
      <c r="A4" s="1966" t="s">
        <v>1774</v>
      </c>
      <c r="B4" s="1966"/>
      <c r="C4" s="1966"/>
      <c r="D4" s="1966"/>
      <c r="E4" s="1966"/>
      <c r="F4" s="1966"/>
    </row>
    <row r="5" spans="1:9" s="1176" customFormat="1" ht="17.25" customHeight="1">
      <c r="A5" s="1177"/>
      <c r="B5" s="1177"/>
      <c r="C5" s="1966" t="s">
        <v>752</v>
      </c>
      <c r="D5" s="1966"/>
      <c r="E5" s="1177"/>
      <c r="F5" s="1177"/>
    </row>
    <row r="6" spans="1:9" ht="15.75">
      <c r="A6" s="1146" t="s">
        <v>1568</v>
      </c>
      <c r="B6" s="1146"/>
      <c r="C6" s="1146"/>
      <c r="D6" s="1146"/>
      <c r="E6" s="1146"/>
      <c r="F6" s="1146"/>
    </row>
    <row r="7" spans="1:9" s="1179" customFormat="1" ht="15.75" customHeight="1">
      <c r="A7" s="1179" t="s">
        <v>1569</v>
      </c>
    </row>
    <row r="8" spans="1:9" s="1179" customFormat="1" ht="15.75" customHeight="1">
      <c r="A8" s="1179" t="s">
        <v>1570</v>
      </c>
    </row>
    <row r="9" spans="1:9" s="1179" customFormat="1" ht="15.75" customHeight="1">
      <c r="A9" s="1179" t="s">
        <v>1571</v>
      </c>
    </row>
    <row r="10" spans="1:9" s="1179" customFormat="1" ht="15.75" customHeight="1">
      <c r="A10" s="1179" t="s">
        <v>1572</v>
      </c>
    </row>
    <row r="11" spans="1:9" s="1179" customFormat="1" ht="15.75" customHeight="1">
      <c r="A11" s="1179" t="s">
        <v>1573</v>
      </c>
    </row>
    <row r="12" spans="1:9" s="1179" customFormat="1" ht="15.75" customHeight="1">
      <c r="A12" s="1179" t="s">
        <v>1574</v>
      </c>
    </row>
    <row r="13" spans="1:9" ht="31.15" customHeight="1"/>
    <row r="14" spans="1:9" ht="31.15" customHeight="1">
      <c r="A14" s="1967" t="s">
        <v>1575</v>
      </c>
      <c r="B14" s="1967"/>
      <c r="C14" s="1180">
        <v>2016</v>
      </c>
      <c r="D14" s="1181">
        <v>2017</v>
      </c>
      <c r="E14" s="1181">
        <v>2018</v>
      </c>
      <c r="F14" s="1181">
        <v>2019</v>
      </c>
    </row>
    <row r="15" spans="1:9" ht="15.75">
      <c r="A15" s="1956" t="s">
        <v>1576</v>
      </c>
      <c r="B15" s="1956"/>
      <c r="C15" s="1180">
        <v>157</v>
      </c>
      <c r="D15" s="1181">
        <v>158</v>
      </c>
      <c r="E15" s="1181">
        <v>164</v>
      </c>
      <c r="F15" s="1181">
        <f>ROUND((C15+D15+E15)/3,0)</f>
        <v>160</v>
      </c>
      <c r="G15" s="1182"/>
    </row>
    <row r="16" spans="1:9" ht="15.75">
      <c r="A16" s="1962" t="s">
        <v>1577</v>
      </c>
      <c r="B16" s="1952"/>
      <c r="C16" s="1963" t="s">
        <v>846</v>
      </c>
      <c r="D16" s="1963"/>
      <c r="E16" s="1959">
        <f>ROUND((25*8+25*4)/12,0)</f>
        <v>25</v>
      </c>
      <c r="F16" s="1183"/>
      <c r="G16" s="1216"/>
      <c r="H16" s="1200"/>
      <c r="I16" s="1200"/>
    </row>
    <row r="17" spans="1:9" ht="28.15" customHeight="1">
      <c r="A17" s="1184"/>
      <c r="B17" s="1185"/>
      <c r="C17" s="1961" t="s">
        <v>1578</v>
      </c>
      <c r="D17" s="1961"/>
      <c r="E17" s="1960"/>
      <c r="F17" s="1183"/>
      <c r="H17" s="1960"/>
      <c r="I17" s="1960"/>
    </row>
    <row r="18" spans="1:9" ht="19.5" customHeight="1">
      <c r="A18" s="1184"/>
      <c r="B18" s="1185"/>
      <c r="C18" s="1964" t="s">
        <v>835</v>
      </c>
      <c r="D18" s="1964"/>
      <c r="E18" s="1964"/>
      <c r="F18" s="1965"/>
      <c r="H18" s="1960"/>
      <c r="I18" s="1960"/>
    </row>
    <row r="19" spans="1:9" ht="21.75" customHeight="1">
      <c r="A19" s="1184"/>
      <c r="B19" s="1185"/>
      <c r="C19" s="1964" t="s">
        <v>836</v>
      </c>
      <c r="D19" s="1964"/>
      <c r="E19" s="1964"/>
      <c r="F19" s="1965"/>
      <c r="G19" s="1146"/>
    </row>
    <row r="20" spans="1:9" s="1186" customFormat="1" ht="21.75" customHeight="1">
      <c r="A20" s="1948" t="s">
        <v>847</v>
      </c>
      <c r="B20" s="1949"/>
      <c r="C20" s="1949"/>
      <c r="D20" s="1949"/>
      <c r="E20" s="1949"/>
      <c r="F20" s="1950"/>
      <c r="G20" s="1146"/>
    </row>
    <row r="21" spans="1:9" ht="31.5" hidden="1" customHeight="1">
      <c r="A21" s="1951" t="s">
        <v>1762</v>
      </c>
      <c r="B21" s="1952"/>
      <c r="C21" s="1952"/>
      <c r="D21" s="1949"/>
      <c r="E21" s="1949"/>
      <c r="F21" s="1950"/>
      <c r="G21" s="1146"/>
    </row>
    <row r="22" spans="1:9" s="1186" customFormat="1" ht="15.75" hidden="1">
      <c r="A22" s="1948" t="s">
        <v>1763</v>
      </c>
      <c r="B22" s="1949"/>
      <c r="C22" s="1949"/>
      <c r="D22" s="1949"/>
      <c r="E22" s="1949"/>
      <c r="F22" s="1950"/>
      <c r="G22" s="1146"/>
    </row>
    <row r="23" spans="1:9" ht="18" hidden="1" customHeight="1">
      <c r="A23" s="1951" t="s">
        <v>1764</v>
      </c>
      <c r="B23" s="1952"/>
      <c r="C23" s="1952"/>
      <c r="D23" s="1952"/>
      <c r="E23" s="1952"/>
      <c r="F23" s="1953"/>
      <c r="G23" s="1146"/>
    </row>
    <row r="24" spans="1:9" s="1186" customFormat="1" ht="20.25" hidden="1" customHeight="1">
      <c r="A24" s="1955" t="s">
        <v>1765</v>
      </c>
      <c r="B24" s="1956"/>
      <c r="C24" s="1956"/>
      <c r="D24" s="1956"/>
      <c r="E24" s="1956"/>
      <c r="F24" s="1956"/>
      <c r="G24" s="1146"/>
    </row>
    <row r="25" spans="1:9" s="1186" customFormat="1" ht="15.75">
      <c r="A25" s="1187"/>
      <c r="B25" s="1188"/>
      <c r="C25" s="1188"/>
      <c r="D25" s="1188"/>
      <c r="E25" s="1188"/>
      <c r="F25" s="1188"/>
      <c r="G25" s="1146"/>
    </row>
    <row r="26" spans="1:9" s="1186" customFormat="1" ht="78" customHeight="1">
      <c r="A26" s="1189" t="s">
        <v>1766</v>
      </c>
      <c r="B26" s="1189" t="s">
        <v>1579</v>
      </c>
      <c r="C26" s="1189" t="s">
        <v>1767</v>
      </c>
      <c r="D26" s="1190" t="s">
        <v>1580</v>
      </c>
      <c r="E26" s="1191"/>
    </row>
    <row r="27" spans="1:9" s="1195" customFormat="1" ht="15" customHeight="1">
      <c r="A27" s="1192" t="s">
        <v>1581</v>
      </c>
      <c r="B27" s="1192" t="s">
        <v>1270</v>
      </c>
      <c r="C27" s="1192" t="s">
        <v>1271</v>
      </c>
      <c r="D27" s="1193" t="s">
        <v>1272</v>
      </c>
      <c r="E27" s="1194"/>
    </row>
    <row r="28" spans="1:9" ht="15.75">
      <c r="A28" s="307">
        <f>B28-C28-D28</f>
        <v>4000</v>
      </c>
      <c r="B28" s="1196">
        <f>25*160</f>
        <v>4000</v>
      </c>
      <c r="C28" s="1197"/>
      <c r="D28" s="1198"/>
      <c r="E28" s="1185"/>
    </row>
    <row r="29" spans="1:9" s="1200" customFormat="1" ht="15.75">
      <c r="A29" s="1188"/>
      <c r="B29" s="1188"/>
      <c r="C29" s="1185"/>
      <c r="D29" s="1199"/>
      <c r="E29" s="1185"/>
      <c r="F29" s="1185"/>
    </row>
    <row r="30" spans="1:9" s="1186" customFormat="1" ht="126">
      <c r="A30" s="1189" t="s">
        <v>1768</v>
      </c>
      <c r="B30" s="1189" t="s">
        <v>1582</v>
      </c>
      <c r="C30" s="1189" t="s">
        <v>1769</v>
      </c>
      <c r="D30" s="1190" t="s">
        <v>1580</v>
      </c>
      <c r="E30" s="1171"/>
      <c r="F30" s="1201"/>
    </row>
    <row r="31" spans="1:9" s="1195" customFormat="1" ht="15" customHeight="1">
      <c r="A31" s="1192" t="s">
        <v>1581</v>
      </c>
      <c r="B31" s="1192" t="s">
        <v>1270</v>
      </c>
      <c r="C31" s="1192" t="s">
        <v>1271</v>
      </c>
      <c r="D31" s="1192" t="s">
        <v>1272</v>
      </c>
      <c r="E31" s="1957"/>
      <c r="F31" s="1957"/>
    </row>
    <row r="32" spans="1:9" ht="15.75">
      <c r="A32" s="307">
        <f>B32-C32-D32</f>
        <v>0</v>
      </c>
      <c r="B32" s="1196"/>
      <c r="C32" s="1196"/>
      <c r="D32" s="1196"/>
      <c r="E32" s="1175"/>
      <c r="F32" s="1200"/>
    </row>
    <row r="33" spans="1:8" ht="36.75" customHeight="1">
      <c r="A33" s="1202"/>
      <c r="B33" s="1188"/>
      <c r="C33" s="1188"/>
      <c r="D33" s="1188"/>
      <c r="E33" s="1188"/>
      <c r="F33" s="1188"/>
      <c r="G33" s="1146"/>
    </row>
    <row r="34" spans="1:8" ht="63">
      <c r="A34" s="1147" t="s">
        <v>218</v>
      </c>
      <c r="B34" s="1147" t="s">
        <v>838</v>
      </c>
      <c r="C34" s="1147" t="s">
        <v>839</v>
      </c>
      <c r="D34" s="1147" t="s">
        <v>840</v>
      </c>
      <c r="E34" s="1147" t="s">
        <v>841</v>
      </c>
      <c r="F34" s="1147" t="s">
        <v>1583</v>
      </c>
      <c r="G34" s="1186"/>
    </row>
    <row r="35" spans="1:8" ht="24" customHeight="1">
      <c r="A35" s="1203" t="s">
        <v>1584</v>
      </c>
      <c r="B35" s="1204">
        <f>E16</f>
        <v>25</v>
      </c>
      <c r="C35" s="1181">
        <f>ROUND(E35/B35,0)</f>
        <v>160</v>
      </c>
      <c r="D35" s="1205">
        <v>243.59</v>
      </c>
      <c r="E35" s="1196">
        <f>A28</f>
        <v>4000</v>
      </c>
      <c r="F35" s="1206">
        <f>ROUND(D35*E35,2)</f>
        <v>974360</v>
      </c>
      <c r="G35" s="1214"/>
      <c r="H35" s="1214"/>
    </row>
    <row r="36" spans="1:8" ht="47.25">
      <c r="A36" s="1203" t="s">
        <v>1585</v>
      </c>
      <c r="B36" s="1181"/>
      <c r="C36" s="1181" t="e">
        <f>ROUND(E36/B36,0)</f>
        <v>#DIV/0!</v>
      </c>
      <c r="D36" s="1205">
        <f>ROUND(D35*0.1,2)</f>
        <v>24.36</v>
      </c>
      <c r="E36" s="1196">
        <f>A32</f>
        <v>0</v>
      </c>
      <c r="F36" s="1206">
        <f>ROUND(D36*E36,2)</f>
        <v>0</v>
      </c>
    </row>
    <row r="37" spans="1:8" ht="15.75">
      <c r="A37" s="1207" t="s">
        <v>1527</v>
      </c>
      <c r="B37" s="1181"/>
      <c r="C37" s="1181"/>
      <c r="D37" s="1181"/>
      <c r="E37" s="1181"/>
      <c r="F37" s="1208">
        <f>F35+F36</f>
        <v>974360</v>
      </c>
      <c r="G37" s="1215"/>
    </row>
    <row r="38" spans="1:8" ht="22.5" customHeight="1">
      <c r="A38" s="1958"/>
      <c r="B38" s="1958"/>
      <c r="C38" s="1958"/>
      <c r="D38" s="1176"/>
      <c r="E38" s="1176"/>
      <c r="F38" s="1176"/>
    </row>
    <row r="39" spans="1:8" ht="38.25" customHeight="1">
      <c r="A39" s="1209" t="s">
        <v>1039</v>
      </c>
      <c r="B39" s="1210"/>
      <c r="C39" s="1176"/>
      <c r="D39" s="1176" t="s">
        <v>1770</v>
      </c>
      <c r="E39" s="1176"/>
      <c r="F39" s="1211" t="s">
        <v>1040</v>
      </c>
    </row>
    <row r="40" spans="1:8" ht="9.75" customHeight="1">
      <c r="B40" s="1210"/>
      <c r="C40" s="1176"/>
      <c r="D40" s="1954"/>
      <c r="E40" s="1954"/>
      <c r="F40" s="1212" t="s">
        <v>1847</v>
      </c>
    </row>
    <row r="41" spans="1:8" ht="15.75">
      <c r="A41" s="1209" t="s">
        <v>1771</v>
      </c>
      <c r="B41" s="1176"/>
      <c r="C41" s="1176"/>
      <c r="D41" s="1213" t="s">
        <v>1770</v>
      </c>
      <c r="E41" s="1213"/>
      <c r="F41" s="1211" t="s">
        <v>1245</v>
      </c>
    </row>
    <row r="42" spans="1:8" ht="15.75">
      <c r="A42" s="1182"/>
      <c r="B42" s="1176"/>
      <c r="C42" s="1176"/>
      <c r="D42" s="1954"/>
      <c r="E42" s="1954"/>
      <c r="F42" s="1212" t="s">
        <v>1847</v>
      </c>
    </row>
    <row r="43" spans="1:8" ht="15.75">
      <c r="A43" s="1176"/>
      <c r="B43" s="1176"/>
      <c r="C43" s="1176"/>
      <c r="D43" s="1176"/>
      <c r="E43" s="1176"/>
      <c r="F43" s="1176"/>
    </row>
    <row r="44" spans="1:8" ht="15.75">
      <c r="A44" s="1176"/>
      <c r="B44" s="1176"/>
      <c r="C44" s="1176"/>
      <c r="D44" s="1176"/>
      <c r="E44" s="1176"/>
      <c r="F44" s="1176"/>
    </row>
    <row r="45" spans="1:8" ht="15.75">
      <c r="A45" s="1176"/>
      <c r="B45" s="1176"/>
      <c r="C45" s="1176"/>
      <c r="D45" s="1176"/>
      <c r="E45" s="1176"/>
      <c r="F45" s="1176"/>
    </row>
    <row r="46" spans="1:8" ht="15.75">
      <c r="A46" s="1176"/>
      <c r="B46" s="1176"/>
      <c r="C46" s="1176"/>
      <c r="D46" s="1176"/>
      <c r="E46" s="1176"/>
      <c r="F46" s="1176"/>
    </row>
    <row r="47" spans="1:8" ht="15.75">
      <c r="A47" s="1176"/>
      <c r="B47" s="1176"/>
      <c r="C47" s="1176"/>
      <c r="D47" s="1176"/>
      <c r="E47" s="1176"/>
      <c r="F47" s="1176"/>
    </row>
    <row r="48" spans="1:8" ht="15.75">
      <c r="A48" s="1176"/>
      <c r="B48" s="1176"/>
      <c r="C48" s="1176"/>
      <c r="D48" s="1176"/>
      <c r="E48" s="1176"/>
      <c r="F48" s="1176"/>
    </row>
    <row r="49" spans="1:6" ht="15.75">
      <c r="A49" s="1176"/>
      <c r="B49" s="1176"/>
      <c r="C49" s="1176"/>
      <c r="D49" s="1176"/>
      <c r="E49" s="1176"/>
      <c r="F49" s="1176"/>
    </row>
  </sheetData>
  <mergeCells count="22">
    <mergeCell ref="A21:F21"/>
    <mergeCell ref="A20:F20"/>
    <mergeCell ref="A3:F3"/>
    <mergeCell ref="A4:F4"/>
    <mergeCell ref="A14:B14"/>
    <mergeCell ref="A15:B15"/>
    <mergeCell ref="C5:D5"/>
    <mergeCell ref="A16:B16"/>
    <mergeCell ref="C16:D16"/>
    <mergeCell ref="D42:E42"/>
    <mergeCell ref="A22:F22"/>
    <mergeCell ref="A23:F23"/>
    <mergeCell ref="A24:F24"/>
    <mergeCell ref="E31:F31"/>
    <mergeCell ref="A38:C38"/>
    <mergeCell ref="D40:E40"/>
    <mergeCell ref="I17:I18"/>
    <mergeCell ref="C18:F18"/>
    <mergeCell ref="H17:H18"/>
    <mergeCell ref="C19:F19"/>
    <mergeCell ref="E16:E17"/>
    <mergeCell ref="C17:D17"/>
  </mergeCells>
  <phoneticPr fontId="116" type="noConversion"/>
  <pageMargins left="0.31" right="0.31" top="0.31" bottom="0.17" header="0.5" footer="0.17"/>
  <pageSetup paperSize="9" scale="83" orientation="portrait" r:id="rId1"/>
  <headerFooter alignWithMargins="0"/>
</worksheet>
</file>

<file path=xl/worksheets/sheet56.xml><?xml version="1.0" encoding="utf-8"?>
<worksheet xmlns="http://schemas.openxmlformats.org/spreadsheetml/2006/main" xmlns:r="http://schemas.openxmlformats.org/officeDocument/2006/relationships">
  <sheetPr>
    <tabColor theme="6" tint="-0.249977111117893"/>
    <pageSetUpPr fitToPage="1"/>
  </sheetPr>
  <dimension ref="A1:H49"/>
  <sheetViews>
    <sheetView view="pageBreakPreview" topLeftCell="A31" zoomScale="93" zoomScaleNormal="100" zoomScaleSheetLayoutView="93" workbookViewId="0">
      <selection activeCell="C14" sqref="C14:F15"/>
    </sheetView>
  </sheetViews>
  <sheetFormatPr defaultColWidth="8.85546875" defaultRowHeight="12.75"/>
  <cols>
    <col min="1" max="1" width="18.7109375" style="1178" customWidth="1"/>
    <col min="2" max="2" width="16" style="1178" customWidth="1"/>
    <col min="3" max="3" width="22.140625" style="1178" customWidth="1"/>
    <col min="4" max="4" width="23.140625" style="1178" customWidth="1"/>
    <col min="5" max="5" width="18.42578125" style="1178" customWidth="1"/>
    <col min="6" max="6" width="17.7109375" style="1178" customWidth="1"/>
    <col min="7" max="16384" width="8.85546875" style="1178"/>
  </cols>
  <sheetData>
    <row r="1" spans="1:8" s="28" customFormat="1" ht="15.75">
      <c r="F1" s="209" t="s">
        <v>967</v>
      </c>
    </row>
    <row r="2" spans="1:8" s="28" customFormat="1" ht="15">
      <c r="A2" s="30"/>
      <c r="B2" s="30"/>
      <c r="C2" s="30"/>
      <c r="D2" s="30"/>
      <c r="E2" s="30"/>
      <c r="F2" s="30"/>
      <c r="G2" s="32"/>
    </row>
    <row r="3" spans="1:8" s="28" customFormat="1" ht="17.25" customHeight="1">
      <c r="A3" s="1809" t="s">
        <v>1725</v>
      </c>
      <c r="B3" s="1809"/>
      <c r="C3" s="1809"/>
      <c r="D3" s="1809"/>
      <c r="E3" s="1809"/>
      <c r="F3" s="1809"/>
    </row>
    <row r="4" spans="1:8" s="1176" customFormat="1" ht="17.25" customHeight="1">
      <c r="A4" s="1966" t="s">
        <v>542</v>
      </c>
      <c r="B4" s="1966"/>
      <c r="C4" s="1966"/>
      <c r="D4" s="1966"/>
      <c r="E4" s="1966"/>
      <c r="F4" s="1966"/>
    </row>
    <row r="5" spans="1:8" s="1176" customFormat="1" ht="17.25" customHeight="1">
      <c r="A5" s="1177"/>
      <c r="B5" s="1177"/>
      <c r="C5" s="1966" t="s">
        <v>753</v>
      </c>
      <c r="D5" s="1966"/>
      <c r="E5" s="1177"/>
      <c r="F5" s="1177"/>
    </row>
    <row r="6" spans="1:8" ht="15.75">
      <c r="A6" s="1146" t="s">
        <v>1568</v>
      </c>
      <c r="B6" s="1146"/>
      <c r="C6" s="1146"/>
      <c r="D6" s="1146"/>
      <c r="E6" s="1146"/>
      <c r="F6" s="1146"/>
    </row>
    <row r="7" spans="1:8" s="1179" customFormat="1" ht="15.75" customHeight="1">
      <c r="A7" s="1179" t="s">
        <v>1569</v>
      </c>
    </row>
    <row r="8" spans="1:8" s="1179" customFormat="1" ht="15.75" customHeight="1">
      <c r="A8" s="1179" t="s">
        <v>1570</v>
      </c>
    </row>
    <row r="9" spans="1:8" s="1179" customFormat="1" ht="15.75" customHeight="1">
      <c r="A9" s="1179" t="s">
        <v>1571</v>
      </c>
    </row>
    <row r="10" spans="1:8" s="1179" customFormat="1" ht="15.75" customHeight="1">
      <c r="A10" s="1179" t="s">
        <v>1572</v>
      </c>
    </row>
    <row r="11" spans="1:8" s="1179" customFormat="1" ht="15.75" customHeight="1">
      <c r="A11" s="1179" t="s">
        <v>1573</v>
      </c>
    </row>
    <row r="12" spans="1:8" s="1179" customFormat="1" ht="15.75" customHeight="1">
      <c r="A12" s="1179" t="s">
        <v>1574</v>
      </c>
    </row>
    <row r="13" spans="1:8" ht="31.15" customHeight="1"/>
    <row r="14" spans="1:8" ht="31.15" customHeight="1">
      <c r="A14" s="1967" t="s">
        <v>1575</v>
      </c>
      <c r="B14" s="1967"/>
      <c r="C14" s="1180">
        <v>2017</v>
      </c>
      <c r="D14" s="1181">
        <v>2018</v>
      </c>
      <c r="E14" s="1181">
        <v>2019</v>
      </c>
      <c r="F14" s="1181">
        <v>2020</v>
      </c>
    </row>
    <row r="15" spans="1:8" ht="15.75">
      <c r="A15" s="1956" t="s">
        <v>1576</v>
      </c>
      <c r="B15" s="1956"/>
      <c r="C15" s="1180">
        <v>147</v>
      </c>
      <c r="D15" s="1181">
        <v>156</v>
      </c>
      <c r="E15" s="1181">
        <v>151</v>
      </c>
      <c r="F15" s="1181">
        <f>ROUND((C15+D15+E15)/3,0)</f>
        <v>151</v>
      </c>
      <c r="G15" s="1182">
        <v>151</v>
      </c>
    </row>
    <row r="16" spans="1:8" ht="15.75">
      <c r="A16" s="1962" t="s">
        <v>1577</v>
      </c>
      <c r="B16" s="1952"/>
      <c r="C16" s="1963" t="s">
        <v>850</v>
      </c>
      <c r="D16" s="1963"/>
      <c r="E16" s="1959">
        <f>ROUND((9*8+10*4)/12,0)</f>
        <v>9</v>
      </c>
      <c r="F16" s="1183"/>
      <c r="G16" s="1959"/>
      <c r="H16" s="1959"/>
    </row>
    <row r="17" spans="1:8" ht="16.5" customHeight="1">
      <c r="A17" s="1184"/>
      <c r="B17" s="1185"/>
      <c r="C17" s="1961" t="s">
        <v>1578</v>
      </c>
      <c r="D17" s="1961"/>
      <c r="E17" s="1960"/>
      <c r="F17" s="1183"/>
      <c r="G17" s="1960"/>
      <c r="H17" s="1960"/>
    </row>
    <row r="18" spans="1:8" ht="25.5" customHeight="1">
      <c r="A18" s="1184"/>
      <c r="B18" s="1185"/>
      <c r="C18" s="1964" t="s">
        <v>848</v>
      </c>
      <c r="D18" s="1964"/>
      <c r="E18" s="1964"/>
      <c r="F18" s="1965"/>
    </row>
    <row r="19" spans="1:8" ht="15.75">
      <c r="A19" s="1184"/>
      <c r="B19" s="1185"/>
      <c r="C19" s="1964" t="s">
        <v>849</v>
      </c>
      <c r="D19" s="1964"/>
      <c r="E19" s="1964"/>
      <c r="F19" s="1965"/>
      <c r="G19" s="1146"/>
    </row>
    <row r="20" spans="1:8" s="1186" customFormat="1" ht="15.75">
      <c r="A20" s="1948" t="s">
        <v>851</v>
      </c>
      <c r="B20" s="1949"/>
      <c r="C20" s="1949"/>
      <c r="D20" s="1949"/>
      <c r="E20" s="1949"/>
      <c r="F20" s="1950"/>
      <c r="G20" s="1146"/>
    </row>
    <row r="21" spans="1:8" ht="31.5" hidden="1" customHeight="1">
      <c r="A21" s="1951" t="s">
        <v>1762</v>
      </c>
      <c r="B21" s="1952"/>
      <c r="C21" s="1952"/>
      <c r="D21" s="1949"/>
      <c r="E21" s="1949"/>
      <c r="F21" s="1950"/>
      <c r="G21" s="1146"/>
    </row>
    <row r="22" spans="1:8" s="1186" customFormat="1" ht="15.75" hidden="1">
      <c r="A22" s="1948" t="s">
        <v>1763</v>
      </c>
      <c r="B22" s="1949"/>
      <c r="C22" s="1949"/>
      <c r="D22" s="1949"/>
      <c r="E22" s="1949"/>
      <c r="F22" s="1950"/>
      <c r="G22" s="1146"/>
    </row>
    <row r="23" spans="1:8" ht="18" hidden="1" customHeight="1">
      <c r="A23" s="1951" t="s">
        <v>1764</v>
      </c>
      <c r="B23" s="1952"/>
      <c r="C23" s="1952"/>
      <c r="D23" s="1952"/>
      <c r="E23" s="1952"/>
      <c r="F23" s="1953"/>
      <c r="G23" s="1146"/>
    </row>
    <row r="24" spans="1:8" s="1186" customFormat="1" ht="20.25" hidden="1" customHeight="1">
      <c r="A24" s="1955" t="s">
        <v>1765</v>
      </c>
      <c r="B24" s="1956"/>
      <c r="C24" s="1956"/>
      <c r="D24" s="1956"/>
      <c r="E24" s="1956"/>
      <c r="F24" s="1956"/>
      <c r="G24" s="1146"/>
    </row>
    <row r="25" spans="1:8" s="1186" customFormat="1" ht="15.75">
      <c r="A25" s="1187"/>
      <c r="B25" s="1188"/>
      <c r="C25" s="1188"/>
      <c r="D25" s="1188"/>
      <c r="E25" s="1188"/>
      <c r="F25" s="1188"/>
      <c r="G25" s="1146"/>
    </row>
    <row r="26" spans="1:8" s="1186" customFormat="1" ht="78" customHeight="1">
      <c r="A26" s="1189" t="s">
        <v>1766</v>
      </c>
      <c r="B26" s="1189" t="s">
        <v>1579</v>
      </c>
      <c r="C26" s="1189" t="s">
        <v>1767</v>
      </c>
      <c r="D26" s="1190" t="s">
        <v>1580</v>
      </c>
      <c r="E26" s="1191"/>
    </row>
    <row r="27" spans="1:8" s="1195" customFormat="1" ht="15" customHeight="1">
      <c r="A27" s="1192" t="s">
        <v>1581</v>
      </c>
      <c r="B27" s="1192" t="s">
        <v>1270</v>
      </c>
      <c r="C27" s="1192" t="s">
        <v>1271</v>
      </c>
      <c r="D27" s="1193" t="s">
        <v>1272</v>
      </c>
      <c r="E27" s="1194"/>
    </row>
    <row r="28" spans="1:8" ht="15.75">
      <c r="A28" s="307">
        <f>B28-C28-D28</f>
        <v>1359</v>
      </c>
      <c r="B28" s="1196">
        <f>9*151</f>
        <v>1359</v>
      </c>
      <c r="C28" s="1197"/>
      <c r="D28" s="1198"/>
      <c r="E28" s="1185"/>
    </row>
    <row r="29" spans="1:8" s="1200" customFormat="1" ht="15.75">
      <c r="A29" s="1188"/>
      <c r="B29" s="1188"/>
      <c r="C29" s="1185"/>
      <c r="D29" s="1199"/>
      <c r="E29" s="1185"/>
      <c r="F29" s="1185"/>
    </row>
    <row r="30" spans="1:8" s="1186" customFormat="1" ht="126">
      <c r="A30" s="1189" t="s">
        <v>1768</v>
      </c>
      <c r="B30" s="1189" t="s">
        <v>1582</v>
      </c>
      <c r="C30" s="1189" t="s">
        <v>1769</v>
      </c>
      <c r="D30" s="1190" t="s">
        <v>1580</v>
      </c>
      <c r="E30" s="1171"/>
      <c r="F30" s="1201"/>
    </row>
    <row r="31" spans="1:8" s="1195" customFormat="1" ht="15" customHeight="1">
      <c r="A31" s="1192" t="s">
        <v>1581</v>
      </c>
      <c r="B31" s="1192" t="s">
        <v>1270</v>
      </c>
      <c r="C31" s="1192" t="s">
        <v>1271</v>
      </c>
      <c r="D31" s="1192" t="s">
        <v>1272</v>
      </c>
      <c r="E31" s="1957"/>
      <c r="F31" s="1957"/>
    </row>
    <row r="32" spans="1:8" ht="15.75">
      <c r="A32" s="307">
        <f>B32-C32-D32</f>
        <v>0</v>
      </c>
      <c r="B32" s="1196"/>
      <c r="C32" s="1196"/>
      <c r="D32" s="1196"/>
      <c r="E32" s="1175"/>
      <c r="F32" s="1200"/>
    </row>
    <row r="33" spans="1:7" ht="36.75" customHeight="1">
      <c r="A33" s="1202"/>
      <c r="B33" s="1188"/>
      <c r="C33" s="1188"/>
      <c r="D33" s="1188"/>
      <c r="E33" s="1188"/>
      <c r="F33" s="1188"/>
      <c r="G33" s="1146"/>
    </row>
    <row r="34" spans="1:7" ht="63">
      <c r="A34" s="1147" t="s">
        <v>218</v>
      </c>
      <c r="B34" s="1147" t="s">
        <v>852</v>
      </c>
      <c r="C34" s="1147" t="s">
        <v>853</v>
      </c>
      <c r="D34" s="1147" t="s">
        <v>854</v>
      </c>
      <c r="E34" s="1147" t="s">
        <v>855</v>
      </c>
      <c r="F34" s="1147" t="s">
        <v>1583</v>
      </c>
      <c r="G34" s="1186"/>
    </row>
    <row r="35" spans="1:7" ht="24" customHeight="1">
      <c r="A35" s="1203" t="s">
        <v>1584</v>
      </c>
      <c r="B35" s="1204">
        <f>E16</f>
        <v>9</v>
      </c>
      <c r="C35" s="1181">
        <f>ROUND(E35/B35,0)</f>
        <v>151</v>
      </c>
      <c r="D35" s="1205">
        <v>137.96</v>
      </c>
      <c r="E35" s="1196">
        <f>A28</f>
        <v>1359</v>
      </c>
      <c r="F35" s="1206">
        <f>ROUND(D35*E35,2)</f>
        <v>187487.64</v>
      </c>
    </row>
    <row r="36" spans="1:7" ht="47.25">
      <c r="A36" s="1203" t="s">
        <v>1585</v>
      </c>
      <c r="B36" s="1181"/>
      <c r="C36" s="1181" t="e">
        <f>ROUND(E36/B36,0)</f>
        <v>#DIV/0!</v>
      </c>
      <c r="D36" s="1205">
        <f>ROUND(D35*0.1,2)</f>
        <v>13.8</v>
      </c>
      <c r="E36" s="1196">
        <f>A32</f>
        <v>0</v>
      </c>
      <c r="F36" s="1206">
        <f>ROUND(D36*E36,2)</f>
        <v>0</v>
      </c>
    </row>
    <row r="37" spans="1:7" ht="15.75">
      <c r="A37" s="1207" t="s">
        <v>1527</v>
      </c>
      <c r="B37" s="1181"/>
      <c r="C37" s="1181"/>
      <c r="D37" s="1181"/>
      <c r="E37" s="1181"/>
      <c r="F37" s="1208">
        <f>F35+F36</f>
        <v>187487.64</v>
      </c>
    </row>
    <row r="38" spans="1:7" ht="15.75">
      <c r="A38" s="1958"/>
      <c r="B38" s="1958"/>
      <c r="C38" s="1958"/>
      <c r="D38" s="1176"/>
      <c r="E38" s="1176"/>
      <c r="F38" s="1176"/>
    </row>
    <row r="39" spans="1:7" ht="41.25" customHeight="1">
      <c r="A39" s="1209" t="s">
        <v>1039</v>
      </c>
      <c r="B39" s="1210"/>
      <c r="C39" s="1176"/>
      <c r="D39" s="1176" t="s">
        <v>1770</v>
      </c>
      <c r="E39" s="1176"/>
      <c r="F39" s="1211" t="s">
        <v>1040</v>
      </c>
    </row>
    <row r="40" spans="1:7" ht="10.5" customHeight="1">
      <c r="B40" s="1210"/>
      <c r="C40" s="1176"/>
      <c r="D40" s="1954"/>
      <c r="E40" s="1954"/>
      <c r="F40" s="1212" t="s">
        <v>1847</v>
      </c>
    </row>
    <row r="41" spans="1:7" ht="38.25" customHeight="1">
      <c r="A41" s="1209" t="s">
        <v>1771</v>
      </c>
      <c r="B41" s="1176"/>
      <c r="C41" s="1176"/>
      <c r="D41" s="1213" t="s">
        <v>1770</v>
      </c>
      <c r="E41" s="1213"/>
      <c r="F41" s="1211" t="s">
        <v>1245</v>
      </c>
    </row>
    <row r="42" spans="1:7" ht="9.75" customHeight="1">
      <c r="A42" s="1182"/>
      <c r="B42" s="1176"/>
      <c r="C42" s="1176"/>
      <c r="D42" s="1954"/>
      <c r="E42" s="1954"/>
      <c r="F42" s="1212" t="s">
        <v>1847</v>
      </c>
    </row>
    <row r="43" spans="1:7" ht="15.75">
      <c r="A43" s="1176"/>
      <c r="B43" s="1176"/>
      <c r="C43" s="1176"/>
      <c r="D43" s="1176"/>
      <c r="E43" s="1176"/>
      <c r="F43" s="1176"/>
    </row>
    <row r="44" spans="1:7" ht="15.75">
      <c r="A44" s="1176"/>
      <c r="B44" s="1176"/>
      <c r="C44" s="1176"/>
      <c r="D44" s="1176"/>
      <c r="E44" s="1176"/>
      <c r="F44" s="1176"/>
    </row>
    <row r="45" spans="1:7" ht="15.75">
      <c r="A45" s="1176"/>
      <c r="B45" s="1176"/>
      <c r="C45" s="1176"/>
      <c r="D45" s="1176"/>
      <c r="E45" s="1176"/>
      <c r="F45" s="1176"/>
    </row>
    <row r="46" spans="1:7" ht="15.75">
      <c r="A46" s="1176"/>
      <c r="B46" s="1176"/>
      <c r="C46" s="1176"/>
      <c r="D46" s="1176"/>
      <c r="E46" s="1176"/>
      <c r="F46" s="1176"/>
    </row>
    <row r="47" spans="1:7" ht="15.75">
      <c r="A47" s="1176"/>
      <c r="B47" s="1176"/>
      <c r="C47" s="1176"/>
      <c r="D47" s="1176"/>
      <c r="E47" s="1176"/>
      <c r="F47" s="1176"/>
    </row>
    <row r="48" spans="1:7" ht="15.75">
      <c r="A48" s="1176"/>
      <c r="B48" s="1176"/>
      <c r="C48" s="1176"/>
      <c r="D48" s="1176"/>
      <c r="E48" s="1176"/>
      <c r="F48" s="1176"/>
    </row>
    <row r="49" spans="1:6" ht="15.75">
      <c r="A49" s="1176"/>
      <c r="B49" s="1176"/>
      <c r="C49" s="1176"/>
      <c r="D49" s="1176"/>
      <c r="E49" s="1176"/>
      <c r="F49" s="1176"/>
    </row>
  </sheetData>
  <mergeCells count="22">
    <mergeCell ref="C16:D16"/>
    <mergeCell ref="E16:E17"/>
    <mergeCell ref="A38:C38"/>
    <mergeCell ref="D40:E40"/>
    <mergeCell ref="A15:B15"/>
    <mergeCell ref="A3:F3"/>
    <mergeCell ref="A4:F4"/>
    <mergeCell ref="C5:D5"/>
    <mergeCell ref="A14:B14"/>
    <mergeCell ref="C19:F19"/>
    <mergeCell ref="A20:F20"/>
    <mergeCell ref="A16:B16"/>
    <mergeCell ref="G16:G17"/>
    <mergeCell ref="H16:H17"/>
    <mergeCell ref="C17:D17"/>
    <mergeCell ref="C18:F18"/>
    <mergeCell ref="D42:E42"/>
    <mergeCell ref="A21:F21"/>
    <mergeCell ref="A22:F22"/>
    <mergeCell ref="A23:F23"/>
    <mergeCell ref="A24:F24"/>
    <mergeCell ref="E31:F31"/>
  </mergeCells>
  <phoneticPr fontId="116" type="noConversion"/>
  <pageMargins left="0.31" right="0.31" top="0.31" bottom="0.17" header="0.5" footer="0.17"/>
  <pageSetup paperSize="9" scale="84" orientation="portrait" r:id="rId1"/>
  <headerFooter alignWithMargins="0"/>
</worksheet>
</file>

<file path=xl/worksheets/sheet57.xml><?xml version="1.0" encoding="utf-8"?>
<worksheet xmlns="http://schemas.openxmlformats.org/spreadsheetml/2006/main" xmlns:r="http://schemas.openxmlformats.org/officeDocument/2006/relationships">
  <sheetPr>
    <tabColor theme="6" tint="-0.249977111117893"/>
    <pageSetUpPr fitToPage="1"/>
  </sheetPr>
  <dimension ref="A1:H49"/>
  <sheetViews>
    <sheetView view="pageBreakPreview" topLeftCell="A34" zoomScale="93" zoomScaleNormal="100" zoomScaleSheetLayoutView="93" workbookViewId="0">
      <selection activeCell="F37" sqref="F37"/>
    </sheetView>
  </sheetViews>
  <sheetFormatPr defaultColWidth="8.85546875" defaultRowHeight="12.75"/>
  <cols>
    <col min="1" max="1" width="18.7109375" style="1178" customWidth="1"/>
    <col min="2" max="2" width="16" style="1178" customWidth="1"/>
    <col min="3" max="3" width="22.140625" style="1178" customWidth="1"/>
    <col min="4" max="4" width="23.140625" style="1178" customWidth="1"/>
    <col min="5" max="5" width="18.42578125" style="1178" customWidth="1"/>
    <col min="6" max="6" width="17.7109375" style="1178" customWidth="1"/>
    <col min="7" max="7" width="14.42578125" style="1178" customWidth="1"/>
    <col min="8" max="16384" width="8.85546875" style="1178"/>
  </cols>
  <sheetData>
    <row r="1" spans="1:8" s="28" customFormat="1" ht="15.75">
      <c r="F1" s="209" t="s">
        <v>967</v>
      </c>
    </row>
    <row r="2" spans="1:8" s="28" customFormat="1" ht="15">
      <c r="A2" s="30"/>
      <c r="B2" s="30"/>
      <c r="C2" s="30"/>
      <c r="D2" s="30"/>
      <c r="E2" s="30"/>
      <c r="F2" s="30"/>
      <c r="G2" s="32"/>
    </row>
    <row r="3" spans="1:8" s="28" customFormat="1" ht="17.25" customHeight="1">
      <c r="A3" s="1809" t="s">
        <v>1725</v>
      </c>
      <c r="B3" s="1809"/>
      <c r="C3" s="1809"/>
      <c r="D3" s="1809"/>
      <c r="E3" s="1809"/>
      <c r="F3" s="1809"/>
    </row>
    <row r="4" spans="1:8" s="1176" customFormat="1" ht="17.25" customHeight="1">
      <c r="A4" s="1966" t="s">
        <v>1772</v>
      </c>
      <c r="B4" s="1966"/>
      <c r="C4" s="1966"/>
      <c r="D4" s="1966"/>
      <c r="E4" s="1966"/>
      <c r="F4" s="1966"/>
    </row>
    <row r="5" spans="1:8" s="1176" customFormat="1" ht="17.25" customHeight="1">
      <c r="A5" s="1177"/>
      <c r="B5" s="1177"/>
      <c r="C5" s="1966" t="s">
        <v>753</v>
      </c>
      <c r="D5" s="1966"/>
      <c r="E5" s="1177"/>
      <c r="F5" s="1177"/>
    </row>
    <row r="6" spans="1:8" ht="15.75">
      <c r="A6" s="1146" t="s">
        <v>1568</v>
      </c>
      <c r="B6" s="1146"/>
      <c r="C6" s="1146"/>
      <c r="D6" s="1146"/>
      <c r="E6" s="1146"/>
      <c r="F6" s="1146"/>
    </row>
    <row r="7" spans="1:8" s="1179" customFormat="1" ht="15.75" customHeight="1">
      <c r="A7" s="1179" t="s">
        <v>1569</v>
      </c>
    </row>
    <row r="8" spans="1:8" s="1179" customFormat="1" ht="15.75" customHeight="1">
      <c r="A8" s="1179" t="s">
        <v>1570</v>
      </c>
    </row>
    <row r="9" spans="1:8" s="1179" customFormat="1" ht="15.75" customHeight="1">
      <c r="A9" s="1179" t="s">
        <v>1571</v>
      </c>
    </row>
    <row r="10" spans="1:8" s="1179" customFormat="1" ht="15.75" customHeight="1">
      <c r="A10" s="1179" t="s">
        <v>1572</v>
      </c>
    </row>
    <row r="11" spans="1:8" s="1179" customFormat="1" ht="15.75" customHeight="1">
      <c r="A11" s="1179" t="s">
        <v>1573</v>
      </c>
    </row>
    <row r="12" spans="1:8" s="1179" customFormat="1" ht="15.75" customHeight="1">
      <c r="A12" s="1179" t="s">
        <v>1574</v>
      </c>
    </row>
    <row r="13" spans="1:8" ht="31.15" customHeight="1"/>
    <row r="14" spans="1:8" ht="31.15" customHeight="1">
      <c r="A14" s="1967" t="s">
        <v>1575</v>
      </c>
      <c r="B14" s="1967"/>
      <c r="C14" s="1180">
        <v>2017</v>
      </c>
      <c r="D14" s="1181">
        <v>2018</v>
      </c>
      <c r="E14" s="1181">
        <v>2019</v>
      </c>
      <c r="F14" s="1181">
        <v>2020</v>
      </c>
    </row>
    <row r="15" spans="1:8" ht="15.75">
      <c r="A15" s="1956" t="s">
        <v>1576</v>
      </c>
      <c r="B15" s="1956"/>
      <c r="C15" s="1180">
        <v>147</v>
      </c>
      <c r="D15" s="1181">
        <v>156</v>
      </c>
      <c r="E15" s="1181">
        <v>151</v>
      </c>
      <c r="F15" s="1181">
        <f>ROUND((C15+D15+E15)/3,0)</f>
        <v>151</v>
      </c>
      <c r="G15" s="1182">
        <v>156</v>
      </c>
    </row>
    <row r="16" spans="1:8" ht="15.75">
      <c r="A16" s="1962" t="s">
        <v>1577</v>
      </c>
      <c r="B16" s="1952"/>
      <c r="C16" s="1963" t="s">
        <v>856</v>
      </c>
      <c r="D16" s="1963"/>
      <c r="E16" s="1959">
        <f>ROUND((29*8+28*4)/12,0)</f>
        <v>29</v>
      </c>
      <c r="F16" s="1183"/>
      <c r="G16" s="1959"/>
      <c r="H16" s="1959"/>
    </row>
    <row r="17" spans="1:8" ht="16.5" customHeight="1">
      <c r="A17" s="1184"/>
      <c r="B17" s="1185"/>
      <c r="C17" s="1961" t="s">
        <v>1578</v>
      </c>
      <c r="D17" s="1961"/>
      <c r="E17" s="1960"/>
      <c r="F17" s="1183"/>
      <c r="G17" s="1960"/>
      <c r="H17" s="1960"/>
    </row>
    <row r="18" spans="1:8" ht="25.5" customHeight="1">
      <c r="A18" s="1184"/>
      <c r="B18" s="1185"/>
      <c r="C18" s="1964" t="s">
        <v>848</v>
      </c>
      <c r="D18" s="1964"/>
      <c r="E18" s="1964"/>
      <c r="F18" s="1965"/>
    </row>
    <row r="19" spans="1:8" ht="15.75">
      <c r="A19" s="1184"/>
      <c r="B19" s="1185"/>
      <c r="C19" s="1964" t="s">
        <v>849</v>
      </c>
      <c r="D19" s="1964"/>
      <c r="E19" s="1964"/>
      <c r="F19" s="1965"/>
      <c r="G19" s="1146"/>
    </row>
    <row r="20" spans="1:8" s="1186" customFormat="1" ht="15.75">
      <c r="A20" s="1948" t="s">
        <v>857</v>
      </c>
      <c r="B20" s="1949"/>
      <c r="C20" s="1949"/>
      <c r="D20" s="1949"/>
      <c r="E20" s="1949"/>
      <c r="F20" s="1950"/>
      <c r="G20" s="1146"/>
    </row>
    <row r="21" spans="1:8" ht="31.5" hidden="1" customHeight="1">
      <c r="A21" s="1951" t="s">
        <v>1762</v>
      </c>
      <c r="B21" s="1952"/>
      <c r="C21" s="1952"/>
      <c r="D21" s="1949"/>
      <c r="E21" s="1949"/>
      <c r="F21" s="1950"/>
      <c r="G21" s="1146"/>
    </row>
    <row r="22" spans="1:8" s="1186" customFormat="1" ht="15.75" hidden="1">
      <c r="A22" s="1948" t="s">
        <v>1763</v>
      </c>
      <c r="B22" s="1949"/>
      <c r="C22" s="1949"/>
      <c r="D22" s="1949"/>
      <c r="E22" s="1949"/>
      <c r="F22" s="1950"/>
      <c r="G22" s="1146"/>
    </row>
    <row r="23" spans="1:8" ht="18" hidden="1" customHeight="1">
      <c r="A23" s="1951" t="s">
        <v>1764</v>
      </c>
      <c r="B23" s="1952"/>
      <c r="C23" s="1952"/>
      <c r="D23" s="1952"/>
      <c r="E23" s="1952"/>
      <c r="F23" s="1953"/>
      <c r="G23" s="1146"/>
    </row>
    <row r="24" spans="1:8" s="1186" customFormat="1" ht="20.25" hidden="1" customHeight="1">
      <c r="A24" s="1955" t="s">
        <v>1765</v>
      </c>
      <c r="B24" s="1956"/>
      <c r="C24" s="1956"/>
      <c r="D24" s="1956"/>
      <c r="E24" s="1956"/>
      <c r="F24" s="1956"/>
      <c r="G24" s="1146"/>
    </row>
    <row r="25" spans="1:8" s="1186" customFormat="1" ht="15.75">
      <c r="A25" s="1187"/>
      <c r="B25" s="1188"/>
      <c r="C25" s="1188"/>
      <c r="D25" s="1188"/>
      <c r="E25" s="1188"/>
      <c r="F25" s="1188"/>
      <c r="G25" s="1146"/>
    </row>
    <row r="26" spans="1:8" s="1186" customFormat="1" ht="78" customHeight="1">
      <c r="A26" s="1189" t="s">
        <v>1766</v>
      </c>
      <c r="B26" s="1189" t="s">
        <v>1579</v>
      </c>
      <c r="C26" s="1189" t="s">
        <v>1767</v>
      </c>
      <c r="D26" s="1190" t="s">
        <v>1580</v>
      </c>
      <c r="E26" s="1191"/>
    </row>
    <row r="27" spans="1:8" s="1195" customFormat="1" ht="15" customHeight="1">
      <c r="A27" s="1192" t="s">
        <v>1581</v>
      </c>
      <c r="B27" s="1192" t="s">
        <v>1270</v>
      </c>
      <c r="C27" s="1192" t="s">
        <v>1271</v>
      </c>
      <c r="D27" s="1193" t="s">
        <v>1272</v>
      </c>
      <c r="E27" s="1194"/>
    </row>
    <row r="28" spans="1:8" ht="15.75">
      <c r="A28" s="307">
        <f>B28-C28-D28</f>
        <v>4379</v>
      </c>
      <c r="B28" s="1196">
        <f>29*151</f>
        <v>4379</v>
      </c>
      <c r="C28" s="1197"/>
      <c r="D28" s="1198"/>
      <c r="E28" s="1185"/>
    </row>
    <row r="29" spans="1:8" s="1200" customFormat="1" ht="15.75">
      <c r="A29" s="1188"/>
      <c r="B29" s="1188"/>
      <c r="C29" s="1185"/>
      <c r="D29" s="1199"/>
      <c r="E29" s="1185"/>
      <c r="F29" s="1185"/>
    </row>
    <row r="30" spans="1:8" s="1186" customFormat="1" ht="126">
      <c r="A30" s="1189" t="s">
        <v>1768</v>
      </c>
      <c r="B30" s="1189" t="s">
        <v>1582</v>
      </c>
      <c r="C30" s="1189" t="s">
        <v>1769</v>
      </c>
      <c r="D30" s="1190" t="s">
        <v>1580</v>
      </c>
      <c r="E30" s="1171"/>
      <c r="F30" s="1201"/>
    </row>
    <row r="31" spans="1:8" s="1195" customFormat="1" ht="15" customHeight="1">
      <c r="A31" s="1192" t="s">
        <v>1581</v>
      </c>
      <c r="B31" s="1192" t="s">
        <v>1270</v>
      </c>
      <c r="C31" s="1192" t="s">
        <v>1271</v>
      </c>
      <c r="D31" s="1192" t="s">
        <v>1272</v>
      </c>
      <c r="E31" s="1957"/>
      <c r="F31" s="1957"/>
    </row>
    <row r="32" spans="1:8" ht="15.75">
      <c r="A32" s="307">
        <f>B32-C32-D32</f>
        <v>0</v>
      </c>
      <c r="B32" s="1196"/>
      <c r="C32" s="1196"/>
      <c r="D32" s="1196"/>
      <c r="E32" s="1175"/>
      <c r="F32" s="1200"/>
    </row>
    <row r="33" spans="1:7" ht="36.75" customHeight="1">
      <c r="A33" s="1202"/>
      <c r="B33" s="1188"/>
      <c r="C33" s="1188"/>
      <c r="D33" s="1188"/>
      <c r="E33" s="1188"/>
      <c r="F33" s="1188"/>
      <c r="G33" s="1146"/>
    </row>
    <row r="34" spans="1:7" ht="63">
      <c r="A34" s="1147" t="s">
        <v>218</v>
      </c>
      <c r="B34" s="1147" t="s">
        <v>852</v>
      </c>
      <c r="C34" s="1147" t="s">
        <v>853</v>
      </c>
      <c r="D34" s="1147" t="s">
        <v>854</v>
      </c>
      <c r="E34" s="1147" t="s">
        <v>855</v>
      </c>
      <c r="F34" s="1147" t="s">
        <v>1583</v>
      </c>
      <c r="G34" s="1186"/>
    </row>
    <row r="35" spans="1:7" ht="24" customHeight="1">
      <c r="A35" s="1203" t="s">
        <v>1584</v>
      </c>
      <c r="B35" s="1204">
        <f>E16</f>
        <v>29</v>
      </c>
      <c r="C35" s="1181">
        <f>ROUND(E35/B35,0)</f>
        <v>151</v>
      </c>
      <c r="D35" s="1205">
        <v>158.33000000000001</v>
      </c>
      <c r="E35" s="1196">
        <f>A28</f>
        <v>4379</v>
      </c>
      <c r="F35" s="1206">
        <f>ROUND(D35*E35,2)</f>
        <v>693327.07</v>
      </c>
      <c r="G35" s="1214">
        <f ca="1">'[8]340 пит прих 2017(7-10)'!E36+'340 пит прих 2020(11-18)'!E35</f>
        <v>4967</v>
      </c>
    </row>
    <row r="36" spans="1:7" ht="47.25">
      <c r="A36" s="1203" t="s">
        <v>1585</v>
      </c>
      <c r="B36" s="1181"/>
      <c r="C36" s="1181" t="e">
        <f>ROUND(E36/B36,0)</f>
        <v>#DIV/0!</v>
      </c>
      <c r="D36" s="1205">
        <f>ROUND(D35*0.1,2)</f>
        <v>15.83</v>
      </c>
      <c r="E36" s="1196">
        <f>A32</f>
        <v>0</v>
      </c>
      <c r="F36" s="1206">
        <f>ROUND(D36*E36,2)</f>
        <v>0</v>
      </c>
    </row>
    <row r="37" spans="1:7" ht="15.75">
      <c r="A37" s="1207" t="s">
        <v>1527</v>
      </c>
      <c r="B37" s="1181"/>
      <c r="C37" s="1181"/>
      <c r="D37" s="1181"/>
      <c r="E37" s="1181"/>
      <c r="F37" s="1208">
        <f>F35+F36</f>
        <v>693327.07</v>
      </c>
      <c r="G37" s="1215">
        <f ca="1">'[8]340 пит прих 2017(7-10)'!F38+'340 пит прих 2020(11-18)'!F37</f>
        <v>763451.95</v>
      </c>
    </row>
    <row r="38" spans="1:7" ht="15.75">
      <c r="A38" s="1958"/>
      <c r="B38" s="1958"/>
      <c r="C38" s="1958"/>
      <c r="D38" s="1176"/>
      <c r="E38" s="1176"/>
      <c r="F38" s="1176"/>
    </row>
    <row r="39" spans="1:7" ht="41.25" customHeight="1">
      <c r="A39" s="1209" t="s">
        <v>1039</v>
      </c>
      <c r="B39" s="1210"/>
      <c r="C39" s="1176"/>
      <c r="D39" s="1176" t="s">
        <v>1770</v>
      </c>
      <c r="E39" s="1176"/>
      <c r="F39" s="1211" t="s">
        <v>1040</v>
      </c>
    </row>
    <row r="40" spans="1:7" ht="10.5" customHeight="1">
      <c r="B40" s="1210"/>
      <c r="C40" s="1176"/>
      <c r="D40" s="1954"/>
      <c r="E40" s="1954"/>
      <c r="F40" s="1212" t="s">
        <v>1847</v>
      </c>
    </row>
    <row r="41" spans="1:7" ht="38.25" customHeight="1">
      <c r="A41" s="1209" t="s">
        <v>1771</v>
      </c>
      <c r="B41" s="1176"/>
      <c r="C41" s="1176"/>
      <c r="D41" s="1213" t="s">
        <v>1770</v>
      </c>
      <c r="E41" s="1213"/>
      <c r="F41" s="1211" t="s">
        <v>1245</v>
      </c>
    </row>
    <row r="42" spans="1:7" ht="9.75" customHeight="1">
      <c r="A42" s="1182"/>
      <c r="B42" s="1176"/>
      <c r="C42" s="1176"/>
      <c r="D42" s="1954"/>
      <c r="E42" s="1954"/>
      <c r="F42" s="1212" t="s">
        <v>1847</v>
      </c>
    </row>
    <row r="43" spans="1:7" ht="15.75">
      <c r="A43" s="1176"/>
      <c r="B43" s="1176"/>
      <c r="C43" s="1176"/>
      <c r="D43" s="1176"/>
      <c r="E43" s="1176"/>
      <c r="F43" s="1176"/>
    </row>
    <row r="44" spans="1:7" ht="15.75">
      <c r="A44" s="1176"/>
      <c r="B44" s="1176"/>
      <c r="C44" s="1176"/>
      <c r="D44" s="1176"/>
      <c r="E44" s="1176"/>
      <c r="F44" s="1176"/>
    </row>
    <row r="45" spans="1:7" ht="15.75">
      <c r="A45" s="1176"/>
      <c r="B45" s="1176"/>
      <c r="C45" s="1176"/>
      <c r="D45" s="1176"/>
      <c r="E45" s="1176"/>
      <c r="F45" s="1176"/>
    </row>
    <row r="46" spans="1:7" ht="15.75">
      <c r="A46" s="1176"/>
      <c r="B46" s="1176"/>
      <c r="C46" s="1176"/>
      <c r="D46" s="1176"/>
      <c r="E46" s="1176"/>
      <c r="F46" s="1176"/>
    </row>
    <row r="47" spans="1:7" ht="15.75">
      <c r="A47" s="1176"/>
      <c r="B47" s="1176"/>
      <c r="C47" s="1176"/>
      <c r="D47" s="1176"/>
      <c r="E47" s="1176"/>
      <c r="F47" s="1176"/>
    </row>
    <row r="48" spans="1:7" ht="15.75">
      <c r="A48" s="1176"/>
      <c r="B48" s="1176"/>
      <c r="C48" s="1176"/>
      <c r="D48" s="1176"/>
      <c r="E48" s="1176"/>
      <c r="F48" s="1176"/>
    </row>
    <row r="49" spans="1:6" ht="15.75">
      <c r="A49" s="1176"/>
      <c r="B49" s="1176"/>
      <c r="C49" s="1176"/>
      <c r="D49" s="1176"/>
      <c r="E49" s="1176"/>
      <c r="F49" s="1176"/>
    </row>
  </sheetData>
  <mergeCells count="22">
    <mergeCell ref="C16:D16"/>
    <mergeCell ref="E16:E17"/>
    <mergeCell ref="A38:C38"/>
    <mergeCell ref="D40:E40"/>
    <mergeCell ref="A15:B15"/>
    <mergeCell ref="A3:F3"/>
    <mergeCell ref="A4:F4"/>
    <mergeCell ref="C5:D5"/>
    <mergeCell ref="A14:B14"/>
    <mergeCell ref="C19:F19"/>
    <mergeCell ref="A20:F20"/>
    <mergeCell ref="A16:B16"/>
    <mergeCell ref="G16:G17"/>
    <mergeCell ref="H16:H17"/>
    <mergeCell ref="C17:D17"/>
    <mergeCell ref="C18:F18"/>
    <mergeCell ref="D42:E42"/>
    <mergeCell ref="A21:F21"/>
    <mergeCell ref="A22:F22"/>
    <mergeCell ref="A23:F23"/>
    <mergeCell ref="A24:F24"/>
    <mergeCell ref="E31:F31"/>
  </mergeCells>
  <phoneticPr fontId="116" type="noConversion"/>
  <pageMargins left="0.31" right="0.31" top="0.31" bottom="0.17" header="0.5" footer="0.17"/>
  <pageSetup paperSize="9" scale="84" orientation="portrait" r:id="rId1"/>
  <headerFooter alignWithMargins="0"/>
</worksheet>
</file>

<file path=xl/worksheets/sheet58.xml><?xml version="1.0" encoding="utf-8"?>
<worksheet xmlns="http://schemas.openxmlformats.org/spreadsheetml/2006/main" xmlns:r="http://schemas.openxmlformats.org/officeDocument/2006/relationships">
  <sheetPr>
    <tabColor theme="6" tint="-0.249977111117893"/>
    <pageSetUpPr fitToPage="1"/>
  </sheetPr>
  <dimension ref="A1:I49"/>
  <sheetViews>
    <sheetView view="pageBreakPreview" topLeftCell="A37" zoomScale="98" zoomScaleNormal="100" zoomScaleSheetLayoutView="98" workbookViewId="0">
      <selection activeCell="C14" sqref="C14:F15"/>
    </sheetView>
  </sheetViews>
  <sheetFormatPr defaultColWidth="8.85546875" defaultRowHeight="12.75"/>
  <cols>
    <col min="1" max="1" width="18.7109375" style="1178" customWidth="1"/>
    <col min="2" max="2" width="16" style="1178" customWidth="1"/>
    <col min="3" max="3" width="22.140625" style="1178" customWidth="1"/>
    <col min="4" max="4" width="24.28515625" style="1178" customWidth="1"/>
    <col min="5" max="5" width="18.42578125" style="1178" customWidth="1"/>
    <col min="6" max="6" width="17.7109375" style="1178" customWidth="1"/>
    <col min="7" max="7" width="10.140625" style="1178" bestFit="1" customWidth="1"/>
    <col min="8" max="16384" width="8.85546875" style="1178"/>
  </cols>
  <sheetData>
    <row r="1" spans="1:7" s="28" customFormat="1" ht="15.75">
      <c r="F1" s="209" t="s">
        <v>967</v>
      </c>
    </row>
    <row r="2" spans="1:7" s="28" customFormat="1" ht="15">
      <c r="A2" s="30"/>
      <c r="B2" s="30"/>
      <c r="C2" s="30"/>
      <c r="D2" s="30"/>
      <c r="E2" s="30"/>
      <c r="F2" s="30"/>
      <c r="G2" s="32"/>
    </row>
    <row r="3" spans="1:7" s="28" customFormat="1" ht="17.25" customHeight="1">
      <c r="A3" s="1809" t="s">
        <v>1725</v>
      </c>
      <c r="B3" s="1809"/>
      <c r="C3" s="1809"/>
      <c r="D3" s="1809"/>
      <c r="E3" s="1809"/>
      <c r="F3" s="1809"/>
    </row>
    <row r="4" spans="1:7" s="1176" customFormat="1" ht="17.25" customHeight="1">
      <c r="A4" s="1966" t="s">
        <v>1773</v>
      </c>
      <c r="B4" s="1966"/>
      <c r="C4" s="1966"/>
      <c r="D4" s="1966"/>
      <c r="E4" s="1966"/>
      <c r="F4" s="1966"/>
    </row>
    <row r="5" spans="1:7" s="1176" customFormat="1" ht="17.25" customHeight="1">
      <c r="A5" s="1177"/>
      <c r="B5" s="1177"/>
      <c r="C5" s="1966" t="s">
        <v>753</v>
      </c>
      <c r="D5" s="1966"/>
      <c r="E5" s="1177"/>
      <c r="F5" s="1177"/>
    </row>
    <row r="6" spans="1:7" ht="15.75">
      <c r="A6" s="1146" t="s">
        <v>1568</v>
      </c>
      <c r="B6" s="1146"/>
      <c r="C6" s="1146"/>
      <c r="D6" s="1146"/>
      <c r="E6" s="1146"/>
      <c r="F6" s="1146"/>
    </row>
    <row r="7" spans="1:7" s="1179" customFormat="1" ht="15.75" customHeight="1">
      <c r="A7" s="1179" t="s">
        <v>1569</v>
      </c>
    </row>
    <row r="8" spans="1:7" s="1179" customFormat="1" ht="15.75" customHeight="1">
      <c r="A8" s="1179" t="s">
        <v>1570</v>
      </c>
    </row>
    <row r="9" spans="1:7" s="1179" customFormat="1" ht="15.75" customHeight="1">
      <c r="A9" s="1179" t="s">
        <v>1571</v>
      </c>
    </row>
    <row r="10" spans="1:7" s="1179" customFormat="1" ht="15.75" customHeight="1">
      <c r="A10" s="1179" t="s">
        <v>1572</v>
      </c>
    </row>
    <row r="11" spans="1:7" s="1179" customFormat="1" ht="15.75" customHeight="1">
      <c r="A11" s="1179" t="s">
        <v>1573</v>
      </c>
    </row>
    <row r="12" spans="1:7" s="1179" customFormat="1" ht="15.75" customHeight="1">
      <c r="A12" s="1179" t="s">
        <v>1574</v>
      </c>
    </row>
    <row r="13" spans="1:7" ht="31.15" customHeight="1"/>
    <row r="14" spans="1:7" ht="31.15" customHeight="1">
      <c r="A14" s="1967" t="s">
        <v>1575</v>
      </c>
      <c r="B14" s="1967"/>
      <c r="C14" s="1180">
        <v>2017</v>
      </c>
      <c r="D14" s="1181">
        <v>2018</v>
      </c>
      <c r="E14" s="1181">
        <v>2019</v>
      </c>
      <c r="F14" s="1181">
        <v>2020</v>
      </c>
    </row>
    <row r="15" spans="1:7" ht="15.75">
      <c r="A15" s="1956" t="s">
        <v>1576</v>
      </c>
      <c r="B15" s="1956"/>
      <c r="C15" s="1180">
        <v>158</v>
      </c>
      <c r="D15" s="1181">
        <v>164</v>
      </c>
      <c r="E15" s="1181">
        <v>160</v>
      </c>
      <c r="F15" s="1181">
        <f>ROUND((C15+D15+E15)/3,0)</f>
        <v>161</v>
      </c>
      <c r="G15" s="1182">
        <v>160</v>
      </c>
    </row>
    <row r="16" spans="1:7" ht="15.75">
      <c r="A16" s="1962" t="s">
        <v>1577</v>
      </c>
      <c r="B16" s="1952"/>
      <c r="C16" s="1963" t="s">
        <v>844</v>
      </c>
      <c r="D16" s="1963"/>
      <c r="E16" s="1959">
        <f>ROUND((12*8+12*4)/12,0)</f>
        <v>12</v>
      </c>
      <c r="F16" s="1183"/>
      <c r="G16" s="1216"/>
    </row>
    <row r="17" spans="1:9" ht="28.15" customHeight="1">
      <c r="A17" s="1184"/>
      <c r="B17" s="1185"/>
      <c r="C17" s="1961" t="s">
        <v>1578</v>
      </c>
      <c r="D17" s="1961"/>
      <c r="E17" s="1960"/>
      <c r="F17" s="1183"/>
      <c r="H17" s="1959"/>
      <c r="I17" s="1959"/>
    </row>
    <row r="18" spans="1:9" ht="30" customHeight="1">
      <c r="A18" s="1184"/>
      <c r="B18" s="1185"/>
      <c r="C18" s="1964" t="s">
        <v>848</v>
      </c>
      <c r="D18" s="1964"/>
      <c r="E18" s="1964"/>
      <c r="F18" s="1965"/>
      <c r="H18" s="1960"/>
      <c r="I18" s="1960"/>
    </row>
    <row r="19" spans="1:9" ht="15.75">
      <c r="A19" s="1184"/>
      <c r="B19" s="1185"/>
      <c r="C19" s="1964" t="s">
        <v>849</v>
      </c>
      <c r="D19" s="1964"/>
      <c r="E19" s="1964"/>
      <c r="F19" s="1965"/>
      <c r="G19" s="1146"/>
    </row>
    <row r="20" spans="1:9" s="1186" customFormat="1" ht="15.75">
      <c r="A20" s="1948" t="s">
        <v>858</v>
      </c>
      <c r="B20" s="1949"/>
      <c r="C20" s="1949"/>
      <c r="D20" s="1949"/>
      <c r="E20" s="1949"/>
      <c r="F20" s="1950"/>
      <c r="G20" s="1146"/>
    </row>
    <row r="21" spans="1:9" ht="31.5" hidden="1" customHeight="1">
      <c r="A21" s="1951" t="s">
        <v>1762</v>
      </c>
      <c r="B21" s="1952"/>
      <c r="C21" s="1952"/>
      <c r="D21" s="1949"/>
      <c r="E21" s="1949"/>
      <c r="F21" s="1950"/>
      <c r="G21" s="1146"/>
    </row>
    <row r="22" spans="1:9" s="1186" customFormat="1" ht="15.75" hidden="1">
      <c r="A22" s="1948" t="s">
        <v>1763</v>
      </c>
      <c r="B22" s="1949"/>
      <c r="C22" s="1949"/>
      <c r="D22" s="1949"/>
      <c r="E22" s="1949"/>
      <c r="F22" s="1950"/>
      <c r="G22" s="1146"/>
    </row>
    <row r="23" spans="1:9" ht="18" hidden="1" customHeight="1">
      <c r="A23" s="1951" t="s">
        <v>1764</v>
      </c>
      <c r="B23" s="1952"/>
      <c r="C23" s="1952"/>
      <c r="D23" s="1952"/>
      <c r="E23" s="1952"/>
      <c r="F23" s="1953"/>
      <c r="G23" s="1146"/>
    </row>
    <row r="24" spans="1:9" s="1186" customFormat="1" ht="20.25" hidden="1" customHeight="1">
      <c r="A24" s="1955" t="s">
        <v>1765</v>
      </c>
      <c r="B24" s="1956"/>
      <c r="C24" s="1956"/>
      <c r="D24" s="1956"/>
      <c r="E24" s="1956"/>
      <c r="F24" s="1956"/>
      <c r="G24" s="1146"/>
    </row>
    <row r="25" spans="1:9" s="1186" customFormat="1" ht="15.75">
      <c r="A25" s="1187"/>
      <c r="B25" s="1188"/>
      <c r="C25" s="1188"/>
      <c r="D25" s="1188"/>
      <c r="E25" s="1188"/>
      <c r="F25" s="1188"/>
      <c r="G25" s="1146"/>
    </row>
    <row r="26" spans="1:9" s="1186" customFormat="1" ht="78" customHeight="1">
      <c r="A26" s="1189" t="s">
        <v>1766</v>
      </c>
      <c r="B26" s="1189" t="s">
        <v>1579</v>
      </c>
      <c r="C26" s="1189" t="s">
        <v>1767</v>
      </c>
      <c r="D26" s="1190" t="s">
        <v>1580</v>
      </c>
      <c r="E26" s="1191"/>
    </row>
    <row r="27" spans="1:9" s="1195" customFormat="1" ht="15" customHeight="1">
      <c r="A27" s="1192" t="s">
        <v>1581</v>
      </c>
      <c r="B27" s="1192" t="s">
        <v>1270</v>
      </c>
      <c r="C27" s="1192" t="s">
        <v>1271</v>
      </c>
      <c r="D27" s="1193" t="s">
        <v>1272</v>
      </c>
      <c r="E27" s="1194"/>
    </row>
    <row r="28" spans="1:9" ht="15.75">
      <c r="A28" s="307">
        <f>B28-C28-D28</f>
        <v>1932</v>
      </c>
      <c r="B28" s="1196">
        <f>12*161</f>
        <v>1932</v>
      </c>
      <c r="C28" s="1197"/>
      <c r="D28" s="1198"/>
      <c r="E28" s="1185"/>
    </row>
    <row r="29" spans="1:9" s="1200" customFormat="1" ht="15.75">
      <c r="A29" s="1188"/>
      <c r="B29" s="1188"/>
      <c r="C29" s="1185"/>
      <c r="D29" s="1199"/>
      <c r="E29" s="1185"/>
      <c r="F29" s="1185"/>
    </row>
    <row r="30" spans="1:9" s="1186" customFormat="1" ht="126">
      <c r="A30" s="1189" t="s">
        <v>1768</v>
      </c>
      <c r="B30" s="1189" t="s">
        <v>1582</v>
      </c>
      <c r="C30" s="1189" t="s">
        <v>1769</v>
      </c>
      <c r="D30" s="1190" t="s">
        <v>1580</v>
      </c>
      <c r="E30" s="1171"/>
      <c r="F30" s="1201"/>
    </row>
    <row r="31" spans="1:9" s="1195" customFormat="1" ht="15" customHeight="1">
      <c r="A31" s="1192" t="s">
        <v>1581</v>
      </c>
      <c r="B31" s="1192" t="s">
        <v>1270</v>
      </c>
      <c r="C31" s="1192" t="s">
        <v>1271</v>
      </c>
      <c r="D31" s="1192" t="s">
        <v>1272</v>
      </c>
      <c r="E31" s="1957"/>
      <c r="F31" s="1957"/>
    </row>
    <row r="32" spans="1:9" ht="15.75">
      <c r="A32" s="307">
        <f>B32-C32-D32</f>
        <v>0</v>
      </c>
      <c r="B32" s="1196"/>
      <c r="C32" s="1196"/>
      <c r="D32" s="1196"/>
      <c r="E32" s="1175"/>
      <c r="F32" s="1200"/>
    </row>
    <row r="33" spans="1:7" ht="36.75" customHeight="1">
      <c r="A33" s="1202"/>
      <c r="B33" s="1188"/>
      <c r="C33" s="1188"/>
      <c r="D33" s="1188"/>
      <c r="E33" s="1188"/>
      <c r="F33" s="1188"/>
      <c r="G33" s="1146"/>
    </row>
    <row r="34" spans="1:7" ht="63">
      <c r="A34" s="1147" t="s">
        <v>218</v>
      </c>
      <c r="B34" s="1147" t="s">
        <v>852</v>
      </c>
      <c r="C34" s="1147" t="s">
        <v>853</v>
      </c>
      <c r="D34" s="1147" t="s">
        <v>854</v>
      </c>
      <c r="E34" s="1147" t="s">
        <v>855</v>
      </c>
      <c r="F34" s="1147" t="s">
        <v>1583</v>
      </c>
      <c r="G34" s="1186"/>
    </row>
    <row r="35" spans="1:7" ht="24" customHeight="1">
      <c r="A35" s="1203" t="s">
        <v>1584</v>
      </c>
      <c r="B35" s="1204">
        <f>E16</f>
        <v>12</v>
      </c>
      <c r="C35" s="1181">
        <f>ROUND(E35/B35,0)</f>
        <v>161</v>
      </c>
      <c r="D35" s="1205">
        <v>212.25</v>
      </c>
      <c r="E35" s="1196">
        <f>A28</f>
        <v>1932</v>
      </c>
      <c r="F35" s="1206">
        <f>ROUND(D35*E35,2)</f>
        <v>410067</v>
      </c>
    </row>
    <row r="36" spans="1:7" ht="47.25">
      <c r="A36" s="1203" t="s">
        <v>1585</v>
      </c>
      <c r="B36" s="1181"/>
      <c r="C36" s="1181" t="e">
        <f>ROUND(E36/B36,0)</f>
        <v>#DIV/0!</v>
      </c>
      <c r="D36" s="1205">
        <f>ROUND(D35*0.1,2)</f>
        <v>21.23</v>
      </c>
      <c r="E36" s="1196">
        <f>A32</f>
        <v>0</v>
      </c>
      <c r="F36" s="1206">
        <f>ROUND(D36*E36,2)</f>
        <v>0</v>
      </c>
    </row>
    <row r="37" spans="1:7" ht="15.75">
      <c r="A37" s="1207" t="s">
        <v>1527</v>
      </c>
      <c r="B37" s="1181"/>
      <c r="C37" s="1181"/>
      <c r="D37" s="1181"/>
      <c r="E37" s="1181"/>
      <c r="F37" s="1208">
        <f>F35+F36</f>
        <v>410067</v>
      </c>
    </row>
    <row r="38" spans="1:7" ht="22.5" customHeight="1">
      <c r="A38" s="1958"/>
      <c r="B38" s="1958"/>
      <c r="C38" s="1958"/>
      <c r="D38" s="1176"/>
      <c r="E38" s="1176"/>
      <c r="F38" s="1176"/>
    </row>
    <row r="39" spans="1:7" ht="38.25" customHeight="1">
      <c r="A39" s="1209" t="s">
        <v>1039</v>
      </c>
      <c r="B39" s="1210"/>
      <c r="C39" s="1176"/>
      <c r="D39" s="1176" t="s">
        <v>1770</v>
      </c>
      <c r="E39" s="1176"/>
      <c r="F39" s="1211" t="s">
        <v>1040</v>
      </c>
    </row>
    <row r="40" spans="1:7" ht="9.75" customHeight="1">
      <c r="B40" s="1210"/>
      <c r="C40" s="1176"/>
      <c r="D40" s="1954"/>
      <c r="E40" s="1954"/>
      <c r="F40" s="1212" t="s">
        <v>1847</v>
      </c>
    </row>
    <row r="41" spans="1:7" ht="15.75">
      <c r="A41" s="1209" t="s">
        <v>1771</v>
      </c>
      <c r="B41" s="1176"/>
      <c r="C41" s="1176"/>
      <c r="D41" s="1213" t="s">
        <v>1770</v>
      </c>
      <c r="E41" s="1213"/>
      <c r="F41" s="1211" t="s">
        <v>1245</v>
      </c>
    </row>
    <row r="42" spans="1:7" ht="15.75">
      <c r="A42" s="1182"/>
      <c r="B42" s="1176"/>
      <c r="C42" s="1176"/>
      <c r="D42" s="1954"/>
      <c r="E42" s="1954"/>
      <c r="F42" s="1212" t="s">
        <v>1847</v>
      </c>
    </row>
    <row r="43" spans="1:7" ht="15.75">
      <c r="A43" s="1176"/>
      <c r="B43" s="1176"/>
      <c r="C43" s="1176"/>
      <c r="D43" s="1176"/>
      <c r="E43" s="1176"/>
      <c r="F43" s="1176"/>
    </row>
    <row r="44" spans="1:7" ht="15.75">
      <c r="A44" s="1176"/>
      <c r="B44" s="1176"/>
      <c r="C44" s="1176"/>
      <c r="D44" s="1176"/>
      <c r="E44" s="1176"/>
      <c r="F44" s="1176"/>
    </row>
    <row r="45" spans="1:7" ht="15.75">
      <c r="A45" s="1176"/>
      <c r="B45" s="1176"/>
      <c r="C45" s="1176"/>
      <c r="D45" s="1176"/>
      <c r="E45" s="1176"/>
      <c r="F45" s="1176"/>
    </row>
    <row r="46" spans="1:7" ht="15.75">
      <c r="A46" s="1176"/>
      <c r="B46" s="1176"/>
      <c r="C46" s="1176"/>
      <c r="D46" s="1176"/>
      <c r="E46" s="1176"/>
      <c r="F46" s="1176"/>
    </row>
    <row r="47" spans="1:7" ht="15.75">
      <c r="A47" s="1176"/>
      <c r="B47" s="1176"/>
      <c r="C47" s="1176"/>
      <c r="D47" s="1176"/>
      <c r="E47" s="1176"/>
      <c r="F47" s="1176"/>
    </row>
    <row r="48" spans="1:7" ht="15.75">
      <c r="A48" s="1176"/>
      <c r="B48" s="1176"/>
      <c r="C48" s="1176"/>
      <c r="D48" s="1176"/>
      <c r="E48" s="1176"/>
      <c r="F48" s="1176"/>
    </row>
    <row r="49" spans="1:6" ht="15.75">
      <c r="A49" s="1176"/>
      <c r="B49" s="1176"/>
      <c r="C49" s="1176"/>
      <c r="D49" s="1176"/>
      <c r="E49" s="1176"/>
      <c r="F49" s="1176"/>
    </row>
  </sheetData>
  <mergeCells count="22">
    <mergeCell ref="A16:B16"/>
    <mergeCell ref="C16:D16"/>
    <mergeCell ref="E16:E17"/>
    <mergeCell ref="A3:F3"/>
    <mergeCell ref="A4:F4"/>
    <mergeCell ref="C5:D5"/>
    <mergeCell ref="A14:B14"/>
    <mergeCell ref="A15:B15"/>
    <mergeCell ref="D42:E42"/>
    <mergeCell ref="A22:F22"/>
    <mergeCell ref="A23:F23"/>
    <mergeCell ref="A24:F24"/>
    <mergeCell ref="E31:F31"/>
    <mergeCell ref="A38:C38"/>
    <mergeCell ref="D40:E40"/>
    <mergeCell ref="A20:F20"/>
    <mergeCell ref="A21:F21"/>
    <mergeCell ref="H17:H18"/>
    <mergeCell ref="I17:I18"/>
    <mergeCell ref="C18:F18"/>
    <mergeCell ref="C19:F19"/>
    <mergeCell ref="C17:D17"/>
  </mergeCells>
  <phoneticPr fontId="116" type="noConversion"/>
  <pageMargins left="0.31" right="0.31" top="0.31" bottom="0.17" header="0.5" footer="0.17"/>
  <pageSetup paperSize="9" scale="83" orientation="portrait" r:id="rId1"/>
  <headerFooter alignWithMargins="0"/>
</worksheet>
</file>

<file path=xl/worksheets/sheet59.xml><?xml version="1.0" encoding="utf-8"?>
<worksheet xmlns="http://schemas.openxmlformats.org/spreadsheetml/2006/main" xmlns:r="http://schemas.openxmlformats.org/officeDocument/2006/relationships">
  <sheetPr>
    <tabColor theme="6" tint="-0.249977111117893"/>
    <pageSetUpPr fitToPage="1"/>
  </sheetPr>
  <dimension ref="A1:I49"/>
  <sheetViews>
    <sheetView view="pageBreakPreview" zoomScale="98" zoomScaleNormal="100" zoomScaleSheetLayoutView="98" workbookViewId="0">
      <selection activeCell="B39" sqref="B39"/>
    </sheetView>
  </sheetViews>
  <sheetFormatPr defaultColWidth="8.85546875" defaultRowHeight="12.75"/>
  <cols>
    <col min="1" max="1" width="18.7109375" style="1178" customWidth="1"/>
    <col min="2" max="2" width="16" style="1178" customWidth="1"/>
    <col min="3" max="3" width="22.140625" style="1178" customWidth="1"/>
    <col min="4" max="4" width="24.28515625" style="1178" customWidth="1"/>
    <col min="5" max="5" width="18.42578125" style="1178" customWidth="1"/>
    <col min="6" max="6" width="17.7109375" style="1178" customWidth="1"/>
    <col min="7" max="7" width="10.140625" style="1178" bestFit="1" customWidth="1"/>
    <col min="8" max="16384" width="8.85546875" style="1178"/>
  </cols>
  <sheetData>
    <row r="1" spans="1:9" s="28" customFormat="1" ht="15.75">
      <c r="F1" s="209" t="s">
        <v>967</v>
      </c>
    </row>
    <row r="2" spans="1:9" s="28" customFormat="1" ht="15">
      <c r="A2" s="30"/>
      <c r="B2" s="30"/>
      <c r="C2" s="30"/>
      <c r="D2" s="30"/>
      <c r="E2" s="30"/>
      <c r="F2" s="30"/>
      <c r="G2" s="32"/>
    </row>
    <row r="3" spans="1:9" s="28" customFormat="1" ht="17.25" customHeight="1">
      <c r="A3" s="1809" t="s">
        <v>1725</v>
      </c>
      <c r="B3" s="1809"/>
      <c r="C3" s="1809"/>
      <c r="D3" s="1809"/>
      <c r="E3" s="1809"/>
      <c r="F3" s="1809"/>
    </row>
    <row r="4" spans="1:9" s="1176" customFormat="1" ht="17.25" customHeight="1">
      <c r="A4" s="1966" t="s">
        <v>1774</v>
      </c>
      <c r="B4" s="1966"/>
      <c r="C4" s="1966"/>
      <c r="D4" s="1966"/>
      <c r="E4" s="1966"/>
      <c r="F4" s="1966"/>
    </row>
    <row r="5" spans="1:9" s="1176" customFormat="1" ht="17.25" customHeight="1">
      <c r="A5" s="1177"/>
      <c r="B5" s="1177"/>
      <c r="C5" s="1966" t="s">
        <v>753</v>
      </c>
      <c r="D5" s="1966"/>
      <c r="E5" s="1177"/>
      <c r="F5" s="1177"/>
    </row>
    <row r="6" spans="1:9" ht="15.75">
      <c r="A6" s="1146" t="s">
        <v>1568</v>
      </c>
      <c r="B6" s="1146"/>
      <c r="C6" s="1146"/>
      <c r="D6" s="1146"/>
      <c r="E6" s="1146"/>
      <c r="F6" s="1146"/>
    </row>
    <row r="7" spans="1:9" s="1179" customFormat="1" ht="15.75" customHeight="1">
      <c r="A7" s="1179" t="s">
        <v>1569</v>
      </c>
    </row>
    <row r="8" spans="1:9" s="1179" customFormat="1" ht="15.75" customHeight="1">
      <c r="A8" s="1179" t="s">
        <v>1570</v>
      </c>
    </row>
    <row r="9" spans="1:9" s="1179" customFormat="1" ht="15.75" customHeight="1">
      <c r="A9" s="1179" t="s">
        <v>1571</v>
      </c>
    </row>
    <row r="10" spans="1:9" s="1179" customFormat="1" ht="15.75" customHeight="1">
      <c r="A10" s="1179" t="s">
        <v>1572</v>
      </c>
    </row>
    <row r="11" spans="1:9" s="1179" customFormat="1" ht="15.75" customHeight="1">
      <c r="A11" s="1179" t="s">
        <v>1573</v>
      </c>
    </row>
    <row r="12" spans="1:9" s="1179" customFormat="1" ht="15.75" customHeight="1">
      <c r="A12" s="1179" t="s">
        <v>1574</v>
      </c>
    </row>
    <row r="13" spans="1:9" ht="31.15" customHeight="1"/>
    <row r="14" spans="1:9" ht="31.15" customHeight="1">
      <c r="A14" s="1967" t="s">
        <v>1575</v>
      </c>
      <c r="B14" s="1967"/>
      <c r="C14" s="1180">
        <v>2017</v>
      </c>
      <c r="D14" s="1181">
        <v>2018</v>
      </c>
      <c r="E14" s="1181">
        <v>2019</v>
      </c>
      <c r="F14" s="1181">
        <v>2020</v>
      </c>
    </row>
    <row r="15" spans="1:9" ht="15.75">
      <c r="A15" s="1956" t="s">
        <v>1576</v>
      </c>
      <c r="B15" s="1956"/>
      <c r="C15" s="1180">
        <v>158</v>
      </c>
      <c r="D15" s="1181">
        <v>164</v>
      </c>
      <c r="E15" s="1181">
        <v>160</v>
      </c>
      <c r="F15" s="1181">
        <f>ROUND((C15+D15+E15)/3,0)</f>
        <v>161</v>
      </c>
      <c r="G15" s="1182"/>
    </row>
    <row r="16" spans="1:9" ht="15.75">
      <c r="A16" s="1962" t="s">
        <v>1577</v>
      </c>
      <c r="B16" s="1952"/>
      <c r="C16" s="1963" t="s">
        <v>846</v>
      </c>
      <c r="D16" s="1963"/>
      <c r="E16" s="1959">
        <f>ROUND((25*8+25*4)/12,0)</f>
        <v>25</v>
      </c>
      <c r="F16" s="1183"/>
      <c r="G16" s="1216"/>
      <c r="H16" s="1200"/>
      <c r="I16" s="1200"/>
    </row>
    <row r="17" spans="1:9" ht="28.15" customHeight="1">
      <c r="A17" s="1184"/>
      <c r="B17" s="1185"/>
      <c r="C17" s="1961" t="s">
        <v>1578</v>
      </c>
      <c r="D17" s="1961"/>
      <c r="E17" s="1960"/>
      <c r="F17" s="1183"/>
      <c r="H17" s="1960"/>
      <c r="I17" s="1960"/>
    </row>
    <row r="18" spans="1:9" ht="19.5" customHeight="1">
      <c r="A18" s="1184"/>
      <c r="B18" s="1185"/>
      <c r="C18" s="1964" t="s">
        <v>848</v>
      </c>
      <c r="D18" s="1964"/>
      <c r="E18" s="1964"/>
      <c r="F18" s="1965"/>
      <c r="H18" s="1960"/>
      <c r="I18" s="1960"/>
    </row>
    <row r="19" spans="1:9" ht="21.75" customHeight="1">
      <c r="A19" s="1184"/>
      <c r="B19" s="1185"/>
      <c r="C19" s="1964" t="s">
        <v>849</v>
      </c>
      <c r="D19" s="1964"/>
      <c r="E19" s="1964"/>
      <c r="F19" s="1965"/>
      <c r="G19" s="1146"/>
    </row>
    <row r="20" spans="1:9" s="1186" customFormat="1" ht="21.75" customHeight="1">
      <c r="A20" s="1948" t="s">
        <v>859</v>
      </c>
      <c r="B20" s="1949"/>
      <c r="C20" s="1949"/>
      <c r="D20" s="1949"/>
      <c r="E20" s="1949"/>
      <c r="F20" s="1950"/>
      <c r="G20" s="1146"/>
    </row>
    <row r="21" spans="1:9" ht="31.5" hidden="1" customHeight="1">
      <c r="A21" s="1951" t="s">
        <v>1762</v>
      </c>
      <c r="B21" s="1952"/>
      <c r="C21" s="1952"/>
      <c r="D21" s="1949"/>
      <c r="E21" s="1949"/>
      <c r="F21" s="1950"/>
      <c r="G21" s="1146"/>
    </row>
    <row r="22" spans="1:9" s="1186" customFormat="1" ht="15.75" hidden="1">
      <c r="A22" s="1948" t="s">
        <v>1763</v>
      </c>
      <c r="B22" s="1949"/>
      <c r="C22" s="1949"/>
      <c r="D22" s="1949"/>
      <c r="E22" s="1949"/>
      <c r="F22" s="1950"/>
      <c r="G22" s="1146"/>
    </row>
    <row r="23" spans="1:9" ht="18" hidden="1" customHeight="1">
      <c r="A23" s="1951" t="s">
        <v>1764</v>
      </c>
      <c r="B23" s="1952"/>
      <c r="C23" s="1952"/>
      <c r="D23" s="1952"/>
      <c r="E23" s="1952"/>
      <c r="F23" s="1953"/>
      <c r="G23" s="1146"/>
    </row>
    <row r="24" spans="1:9" s="1186" customFormat="1" ht="20.25" hidden="1" customHeight="1">
      <c r="A24" s="1955" t="s">
        <v>1765</v>
      </c>
      <c r="B24" s="1956"/>
      <c r="C24" s="1956"/>
      <c r="D24" s="1956"/>
      <c r="E24" s="1956"/>
      <c r="F24" s="1956"/>
      <c r="G24" s="1146"/>
    </row>
    <row r="25" spans="1:9" s="1186" customFormat="1" ht="15.75">
      <c r="A25" s="1187"/>
      <c r="B25" s="1188"/>
      <c r="C25" s="1188"/>
      <c r="D25" s="1188"/>
      <c r="E25" s="1188"/>
      <c r="F25" s="1188"/>
      <c r="G25" s="1146"/>
    </row>
    <row r="26" spans="1:9" s="1186" customFormat="1" ht="78" customHeight="1">
      <c r="A26" s="1189" t="s">
        <v>1766</v>
      </c>
      <c r="B26" s="1189" t="s">
        <v>1579</v>
      </c>
      <c r="C26" s="1189" t="s">
        <v>1767</v>
      </c>
      <c r="D26" s="1190" t="s">
        <v>1580</v>
      </c>
      <c r="E26" s="1191"/>
    </row>
    <row r="27" spans="1:9" s="1195" customFormat="1" ht="15" customHeight="1">
      <c r="A27" s="1192" t="s">
        <v>1581</v>
      </c>
      <c r="B27" s="1192" t="s">
        <v>1270</v>
      </c>
      <c r="C27" s="1192" t="s">
        <v>1271</v>
      </c>
      <c r="D27" s="1193" t="s">
        <v>1272</v>
      </c>
      <c r="E27" s="1194"/>
    </row>
    <row r="28" spans="1:9" ht="15.75">
      <c r="A28" s="307">
        <f>B28-C28-D28</f>
        <v>4025</v>
      </c>
      <c r="B28" s="1196">
        <f>25*161</f>
        <v>4025</v>
      </c>
      <c r="C28" s="1197"/>
      <c r="D28" s="1198"/>
      <c r="E28" s="1185"/>
    </row>
    <row r="29" spans="1:9" s="1200" customFormat="1" ht="15.75">
      <c r="A29" s="1188"/>
      <c r="B29" s="1188"/>
      <c r="C29" s="1185"/>
      <c r="D29" s="1199"/>
      <c r="E29" s="1185"/>
      <c r="F29" s="1185"/>
    </row>
    <row r="30" spans="1:9" s="1186" customFormat="1" ht="126">
      <c r="A30" s="1189" t="s">
        <v>1768</v>
      </c>
      <c r="B30" s="1189" t="s">
        <v>1582</v>
      </c>
      <c r="C30" s="1189" t="s">
        <v>1769</v>
      </c>
      <c r="D30" s="1190" t="s">
        <v>1580</v>
      </c>
      <c r="E30" s="1171"/>
      <c r="F30" s="1201"/>
    </row>
    <row r="31" spans="1:9" s="1195" customFormat="1" ht="15" customHeight="1">
      <c r="A31" s="1192" t="s">
        <v>1581</v>
      </c>
      <c r="B31" s="1192" t="s">
        <v>1270</v>
      </c>
      <c r="C31" s="1192" t="s">
        <v>1271</v>
      </c>
      <c r="D31" s="1192" t="s">
        <v>1272</v>
      </c>
      <c r="E31" s="1957"/>
      <c r="F31" s="1957"/>
    </row>
    <row r="32" spans="1:9" ht="15.75">
      <c r="A32" s="307">
        <f>B32-C32-D32</f>
        <v>0</v>
      </c>
      <c r="B32" s="1196"/>
      <c r="C32" s="1196"/>
      <c r="D32" s="1196"/>
      <c r="E32" s="1175"/>
      <c r="F32" s="1200"/>
    </row>
    <row r="33" spans="1:8" ht="36.75" customHeight="1">
      <c r="A33" s="1202"/>
      <c r="B33" s="1188"/>
      <c r="C33" s="1188"/>
      <c r="D33" s="1188"/>
      <c r="E33" s="1188"/>
      <c r="F33" s="1188"/>
      <c r="G33" s="1146"/>
    </row>
    <row r="34" spans="1:8" ht="63">
      <c r="A34" s="1147" t="s">
        <v>218</v>
      </c>
      <c r="B34" s="1147" t="s">
        <v>852</v>
      </c>
      <c r="C34" s="1147" t="s">
        <v>853</v>
      </c>
      <c r="D34" s="1147" t="s">
        <v>854</v>
      </c>
      <c r="E34" s="1147" t="s">
        <v>855</v>
      </c>
      <c r="F34" s="1147" t="s">
        <v>1583</v>
      </c>
      <c r="G34" s="1186"/>
    </row>
    <row r="35" spans="1:8" ht="24" customHeight="1">
      <c r="A35" s="1203" t="s">
        <v>1584</v>
      </c>
      <c r="B35" s="1204">
        <f>E16</f>
        <v>25</v>
      </c>
      <c r="C35" s="1181">
        <f>ROUND(E35/B35,0)</f>
        <v>161</v>
      </c>
      <c r="D35" s="1205">
        <v>243.59</v>
      </c>
      <c r="E35" s="1196">
        <f>A28</f>
        <v>4025</v>
      </c>
      <c r="F35" s="1206">
        <f>ROUND(D35*E35,2)</f>
        <v>980449.75</v>
      </c>
      <c r="G35" s="1214"/>
      <c r="H35" s="1214"/>
    </row>
    <row r="36" spans="1:8" ht="47.25">
      <c r="A36" s="1203" t="s">
        <v>1585</v>
      </c>
      <c r="B36" s="1181"/>
      <c r="C36" s="1181" t="e">
        <f>ROUND(E36/B36,0)</f>
        <v>#DIV/0!</v>
      </c>
      <c r="D36" s="1205">
        <f>ROUND(D35*0.1,2)</f>
        <v>24.36</v>
      </c>
      <c r="E36" s="1196">
        <f>A32</f>
        <v>0</v>
      </c>
      <c r="F36" s="1206">
        <f>ROUND(D36*E36,2)</f>
        <v>0</v>
      </c>
    </row>
    <row r="37" spans="1:8" ht="15.75">
      <c r="A37" s="1207" t="s">
        <v>1527</v>
      </c>
      <c r="B37" s="1181"/>
      <c r="C37" s="1181"/>
      <c r="D37" s="1181"/>
      <c r="E37" s="1181"/>
      <c r="F37" s="1208">
        <f>F35+F36</f>
        <v>980449.75</v>
      </c>
      <c r="G37" s="1215"/>
    </row>
    <row r="38" spans="1:8" ht="22.5" customHeight="1">
      <c r="A38" s="1958"/>
      <c r="B38" s="1958"/>
      <c r="C38" s="1958"/>
      <c r="D38" s="1176"/>
      <c r="E38" s="1176"/>
      <c r="F38" s="1176"/>
    </row>
    <row r="39" spans="1:8" ht="38.25" customHeight="1">
      <c r="A39" s="1209" t="s">
        <v>1039</v>
      </c>
      <c r="B39" s="1210"/>
      <c r="C39" s="1176"/>
      <c r="D39" s="1176" t="s">
        <v>1770</v>
      </c>
      <c r="E39" s="1176"/>
      <c r="F39" s="1211" t="s">
        <v>1040</v>
      </c>
    </row>
    <row r="40" spans="1:8" ht="9.75" customHeight="1">
      <c r="B40" s="1210"/>
      <c r="C40" s="1176"/>
      <c r="D40" s="1954"/>
      <c r="E40" s="1954"/>
      <c r="F40" s="1212" t="s">
        <v>1847</v>
      </c>
    </row>
    <row r="41" spans="1:8" ht="15.75">
      <c r="A41" s="1209" t="s">
        <v>1771</v>
      </c>
      <c r="B41" s="1176"/>
      <c r="C41" s="1176"/>
      <c r="D41" s="1213" t="s">
        <v>1770</v>
      </c>
      <c r="E41" s="1213"/>
      <c r="F41" s="1211" t="s">
        <v>1245</v>
      </c>
    </row>
    <row r="42" spans="1:8" ht="15.75">
      <c r="A42" s="1182"/>
      <c r="B42" s="1176"/>
      <c r="C42" s="1176"/>
      <c r="D42" s="1954"/>
      <c r="E42" s="1954"/>
      <c r="F42" s="1212" t="s">
        <v>1847</v>
      </c>
    </row>
    <row r="43" spans="1:8" ht="15.75">
      <c r="A43" s="1176"/>
      <c r="B43" s="1176"/>
      <c r="C43" s="1176"/>
      <c r="D43" s="1176"/>
      <c r="E43" s="1176"/>
      <c r="F43" s="1176"/>
    </row>
    <row r="44" spans="1:8" ht="15.75">
      <c r="A44" s="1176"/>
      <c r="B44" s="1176"/>
      <c r="C44" s="1176"/>
      <c r="D44" s="1176"/>
      <c r="E44" s="1176"/>
      <c r="F44" s="1176"/>
    </row>
    <row r="45" spans="1:8" ht="15.75">
      <c r="A45" s="1176"/>
      <c r="B45" s="1176"/>
      <c r="C45" s="1176"/>
      <c r="D45" s="1176"/>
      <c r="E45" s="1176"/>
      <c r="F45" s="1176"/>
    </row>
    <row r="46" spans="1:8" ht="15.75">
      <c r="A46" s="1176"/>
      <c r="B46" s="1176"/>
      <c r="C46" s="1176"/>
      <c r="D46" s="1176"/>
      <c r="E46" s="1176"/>
      <c r="F46" s="1176"/>
    </row>
    <row r="47" spans="1:8" ht="15.75">
      <c r="A47" s="1176"/>
      <c r="B47" s="1176"/>
      <c r="C47" s="1176"/>
      <c r="D47" s="1176"/>
      <c r="E47" s="1176"/>
      <c r="F47" s="1176"/>
    </row>
    <row r="48" spans="1:8" ht="15.75">
      <c r="A48" s="1176"/>
      <c r="B48" s="1176"/>
      <c r="C48" s="1176"/>
      <c r="D48" s="1176"/>
      <c r="E48" s="1176"/>
      <c r="F48" s="1176"/>
    </row>
    <row r="49" spans="1:6" ht="15.75">
      <c r="A49" s="1176"/>
      <c r="B49" s="1176"/>
      <c r="C49" s="1176"/>
      <c r="D49" s="1176"/>
      <c r="E49" s="1176"/>
      <c r="F49" s="1176"/>
    </row>
  </sheetData>
  <mergeCells count="22">
    <mergeCell ref="A16:B16"/>
    <mergeCell ref="C16:D16"/>
    <mergeCell ref="E16:E17"/>
    <mergeCell ref="A3:F3"/>
    <mergeCell ref="A4:F4"/>
    <mergeCell ref="C5:D5"/>
    <mergeCell ref="A14:B14"/>
    <mergeCell ref="A15:B15"/>
    <mergeCell ref="D42:E42"/>
    <mergeCell ref="A22:F22"/>
    <mergeCell ref="A23:F23"/>
    <mergeCell ref="A24:F24"/>
    <mergeCell ref="E31:F31"/>
    <mergeCell ref="A38:C38"/>
    <mergeCell ref="D40:E40"/>
    <mergeCell ref="A20:F20"/>
    <mergeCell ref="A21:F21"/>
    <mergeCell ref="H17:H18"/>
    <mergeCell ref="I17:I18"/>
    <mergeCell ref="C18:F18"/>
    <mergeCell ref="C19:F19"/>
    <mergeCell ref="C17:D17"/>
  </mergeCells>
  <phoneticPr fontId="116" type="noConversion"/>
  <pageMargins left="0.31" right="0.31" top="0.31" bottom="0.17" header="0.5" footer="0.17"/>
  <pageSetup paperSize="9" scale="83" orientation="portrait" r:id="rId1"/>
  <headerFooter alignWithMargins="0"/>
</worksheet>
</file>

<file path=xl/worksheets/sheet6.xml><?xml version="1.0" encoding="utf-8"?>
<worksheet xmlns="http://schemas.openxmlformats.org/spreadsheetml/2006/main" xmlns:r="http://schemas.openxmlformats.org/officeDocument/2006/relationships">
  <sheetPr codeName="Лист56">
    <tabColor rgb="FF00FF00"/>
    <pageSetUpPr fitToPage="1"/>
  </sheetPr>
  <dimension ref="A1:K137"/>
  <sheetViews>
    <sheetView view="pageBreakPreview" topLeftCell="A11" zoomScaleNormal="100" zoomScaleSheetLayoutView="100" workbookViewId="0">
      <selection activeCell="B9" sqref="B9"/>
    </sheetView>
  </sheetViews>
  <sheetFormatPr defaultRowHeight="15"/>
  <cols>
    <col min="1" max="1" width="8.140625" style="156" customWidth="1"/>
    <col min="2" max="2" width="64.42578125" style="156" customWidth="1"/>
    <col min="3" max="3" width="18" style="605" customWidth="1"/>
    <col min="4" max="4" width="18.140625" style="156" customWidth="1"/>
    <col min="5" max="5" width="9.140625" style="156"/>
    <col min="6" max="6" width="13.140625" style="156" customWidth="1"/>
    <col min="7" max="9" width="9.140625" style="156"/>
    <col min="10" max="16384" width="9.140625" style="154"/>
  </cols>
  <sheetData>
    <row r="1" spans="1:11" ht="15.75" hidden="1" customHeight="1">
      <c r="A1" s="139"/>
      <c r="B1" s="132"/>
      <c r="C1" s="130"/>
      <c r="D1" s="132"/>
      <c r="E1" s="132"/>
      <c r="F1" s="132"/>
      <c r="G1" s="132"/>
      <c r="H1" s="132"/>
      <c r="I1" s="127"/>
      <c r="J1" s="120"/>
      <c r="K1" s="120"/>
    </row>
    <row r="2" spans="1:11" ht="15.75">
      <c r="A2" s="139"/>
      <c r="B2" s="1488" t="s">
        <v>701</v>
      </c>
      <c r="C2" s="1488"/>
      <c r="D2" s="155"/>
      <c r="E2" s="132"/>
      <c r="F2" s="132"/>
      <c r="G2" s="132"/>
      <c r="J2" s="120"/>
      <c r="K2" s="120"/>
    </row>
    <row r="3" spans="1:11" ht="15.75">
      <c r="A3" s="139"/>
      <c r="B3" s="132"/>
      <c r="C3" s="130"/>
      <c r="D3" s="132"/>
      <c r="E3" s="132"/>
      <c r="F3" s="132"/>
      <c r="G3" s="132"/>
      <c r="H3" s="155"/>
      <c r="I3" s="155"/>
      <c r="J3" s="120"/>
      <c r="K3" s="120"/>
    </row>
    <row r="4" spans="1:11" ht="63.75" customHeight="1">
      <c r="A4" s="1489" t="s">
        <v>233</v>
      </c>
      <c r="B4" s="1489"/>
      <c r="C4" s="1489"/>
      <c r="D4" s="157"/>
      <c r="E4" s="157"/>
      <c r="F4" s="157"/>
      <c r="G4" s="157"/>
      <c r="H4" s="157"/>
      <c r="I4" s="157"/>
      <c r="J4" s="120"/>
      <c r="K4" s="120"/>
    </row>
    <row r="5" spans="1:11" s="156" customFormat="1" ht="15.75">
      <c r="A5" s="147" t="s">
        <v>1267</v>
      </c>
      <c r="B5" s="147" t="s">
        <v>1300</v>
      </c>
      <c r="C5" s="147" t="s">
        <v>90</v>
      </c>
      <c r="D5" s="572"/>
      <c r="E5" s="572"/>
      <c r="F5" s="572"/>
      <c r="G5" s="1486"/>
      <c r="H5" s="1486"/>
      <c r="I5" s="1486"/>
      <c r="J5" s="139"/>
      <c r="K5" s="139"/>
    </row>
    <row r="6" spans="1:11" s="156" customFormat="1" ht="15.75">
      <c r="A6" s="147">
        <v>1</v>
      </c>
      <c r="B6" s="147">
        <v>2</v>
      </c>
      <c r="C6" s="616">
        <v>3</v>
      </c>
      <c r="D6" s="572"/>
      <c r="E6" s="572"/>
      <c r="F6" s="572"/>
      <c r="G6" s="572"/>
      <c r="H6" s="572"/>
      <c r="I6" s="572"/>
      <c r="J6" s="139"/>
      <c r="K6" s="139"/>
    </row>
    <row r="7" spans="1:11" s="156" customFormat="1" ht="15.75">
      <c r="A7" s="147">
        <v>1</v>
      </c>
      <c r="B7" s="144" t="s">
        <v>702</v>
      </c>
      <c r="C7" s="609">
        <v>16644760.699999999</v>
      </c>
      <c r="D7" s="716"/>
      <c r="E7" s="572"/>
      <c r="F7" s="572"/>
      <c r="G7" s="1486"/>
      <c r="H7" s="1486"/>
      <c r="I7" s="1486"/>
      <c r="J7" s="139"/>
      <c r="K7" s="139"/>
    </row>
    <row r="8" spans="1:11" s="156" customFormat="1" ht="15.75">
      <c r="A8" s="456"/>
      <c r="B8" s="144" t="s">
        <v>818</v>
      </c>
      <c r="C8" s="616"/>
      <c r="D8" s="717"/>
      <c r="E8" s="158"/>
      <c r="F8" s="158"/>
      <c r="G8" s="1486"/>
      <c r="H8" s="1486"/>
      <c r="I8" s="1486"/>
      <c r="J8" s="139"/>
      <c r="K8" s="139"/>
    </row>
    <row r="9" spans="1:11" s="156" customFormat="1" ht="15.75">
      <c r="A9" s="456" t="s">
        <v>1922</v>
      </c>
      <c r="B9" s="144" t="s">
        <v>1940</v>
      </c>
      <c r="C9" s="609">
        <v>5336172.97</v>
      </c>
      <c r="D9" s="716"/>
      <c r="E9" s="158"/>
      <c r="F9" s="158"/>
      <c r="G9" s="572"/>
      <c r="H9" s="572"/>
      <c r="I9" s="572"/>
      <c r="J9" s="139"/>
      <c r="K9" s="139"/>
    </row>
    <row r="10" spans="1:11" s="156" customFormat="1" ht="31.5">
      <c r="A10" s="456" t="s">
        <v>1929</v>
      </c>
      <c r="B10" s="144" t="s">
        <v>1924</v>
      </c>
      <c r="C10" s="609">
        <v>73144.11</v>
      </c>
      <c r="D10" s="716"/>
      <c r="E10" s="133"/>
      <c r="F10" s="133"/>
      <c r="G10" s="1486"/>
      <c r="H10" s="1486"/>
      <c r="I10" s="1486"/>
      <c r="J10" s="139"/>
      <c r="K10" s="139"/>
    </row>
    <row r="11" spans="1:11" s="156" customFormat="1" ht="15.75">
      <c r="A11" s="456" t="s">
        <v>1930</v>
      </c>
      <c r="B11" s="144" t="s">
        <v>1923</v>
      </c>
      <c r="C11" s="609">
        <v>2470381.66</v>
      </c>
      <c r="D11" s="716"/>
      <c r="E11" s="133"/>
      <c r="F11" s="133"/>
      <c r="G11" s="1486"/>
      <c r="H11" s="1486"/>
      <c r="I11" s="1486"/>
      <c r="J11" s="139"/>
      <c r="K11" s="139"/>
    </row>
    <row r="12" spans="1:11" s="156" customFormat="1" ht="31.5">
      <c r="A12" s="457" t="s">
        <v>1931</v>
      </c>
      <c r="B12" s="144" t="s">
        <v>1924</v>
      </c>
      <c r="C12" s="609">
        <v>275969.14</v>
      </c>
      <c r="D12" s="716"/>
      <c r="E12" s="133"/>
      <c r="F12" s="133"/>
      <c r="G12" s="1486"/>
      <c r="H12" s="1486"/>
      <c r="I12" s="1486"/>
      <c r="J12" s="139"/>
      <c r="K12" s="139"/>
    </row>
    <row r="13" spans="1:11" s="156" customFormat="1" ht="15.75">
      <c r="A13" s="456" t="s">
        <v>1932</v>
      </c>
      <c r="B13" s="144" t="s">
        <v>1925</v>
      </c>
      <c r="C13" s="609">
        <v>4233406.08</v>
      </c>
      <c r="D13" s="716"/>
      <c r="E13" s="133"/>
      <c r="F13" s="133"/>
      <c r="G13" s="1486"/>
      <c r="H13" s="1486"/>
      <c r="I13" s="1486"/>
      <c r="J13" s="139"/>
      <c r="K13" s="139"/>
    </row>
    <row r="14" spans="1:11" s="156" customFormat="1" ht="15.75">
      <c r="A14" s="456" t="s">
        <v>1933</v>
      </c>
      <c r="B14" s="144" t="s">
        <v>1926</v>
      </c>
      <c r="C14" s="609">
        <v>1641965.32</v>
      </c>
      <c r="D14" s="716"/>
      <c r="E14" s="133"/>
      <c r="F14" s="133"/>
      <c r="G14" s="572"/>
      <c r="H14" s="572"/>
      <c r="I14" s="572"/>
      <c r="J14" s="139"/>
      <c r="K14" s="139"/>
    </row>
    <row r="15" spans="1:11" s="156" customFormat="1" ht="15.75">
      <c r="A15" s="456" t="s">
        <v>1934</v>
      </c>
      <c r="B15" s="144" t="s">
        <v>1927</v>
      </c>
      <c r="C15" s="619">
        <v>0</v>
      </c>
      <c r="D15" s="718"/>
      <c r="E15" s="133"/>
      <c r="F15" s="133"/>
      <c r="G15" s="572"/>
      <c r="H15" s="572"/>
      <c r="I15" s="572"/>
      <c r="J15" s="139"/>
      <c r="K15" s="139"/>
    </row>
    <row r="16" spans="1:11" s="156" customFormat="1" ht="15.75">
      <c r="A16" s="456"/>
      <c r="B16" s="144" t="s">
        <v>819</v>
      </c>
      <c r="C16" s="619">
        <v>0</v>
      </c>
      <c r="D16" s="718"/>
      <c r="E16" s="133"/>
      <c r="F16" s="133"/>
      <c r="G16" s="572"/>
      <c r="H16" s="572"/>
      <c r="I16" s="572"/>
      <c r="J16" s="139"/>
      <c r="K16" s="139"/>
    </row>
    <row r="17" spans="1:11" s="156" customFormat="1" ht="15.75">
      <c r="A17" s="456" t="s">
        <v>1935</v>
      </c>
      <c r="B17" s="144" t="s">
        <v>820</v>
      </c>
      <c r="C17" s="619">
        <v>0</v>
      </c>
      <c r="D17" s="718"/>
      <c r="E17" s="133"/>
      <c r="F17" s="133"/>
      <c r="G17" s="572"/>
      <c r="H17" s="572"/>
      <c r="I17" s="572"/>
      <c r="J17" s="139"/>
      <c r="K17" s="139"/>
    </row>
    <row r="18" spans="1:11" s="156" customFormat="1" ht="15.75">
      <c r="A18" s="456" t="s">
        <v>1936</v>
      </c>
      <c r="B18" s="144" t="s">
        <v>1928</v>
      </c>
      <c r="C18" s="619">
        <v>0</v>
      </c>
      <c r="D18" s="718"/>
      <c r="E18" s="133"/>
      <c r="F18" s="133"/>
      <c r="G18" s="572"/>
      <c r="H18" s="572"/>
      <c r="I18" s="572"/>
      <c r="J18" s="139"/>
      <c r="K18" s="139"/>
    </row>
    <row r="19" spans="1:11" s="156" customFormat="1" ht="15.75">
      <c r="A19" s="147">
        <v>2</v>
      </c>
      <c r="B19" s="144" t="s">
        <v>704</v>
      </c>
      <c r="C19" s="609">
        <v>20771.53</v>
      </c>
      <c r="D19" s="716"/>
      <c r="E19" s="133"/>
      <c r="F19" s="133"/>
      <c r="G19" s="1486"/>
      <c r="H19" s="1486"/>
      <c r="I19" s="1486"/>
      <c r="J19" s="139"/>
      <c r="K19" s="139"/>
    </row>
    <row r="20" spans="1:11" s="156" customFormat="1" ht="15.75">
      <c r="A20" s="147"/>
      <c r="B20" s="144" t="s">
        <v>703</v>
      </c>
      <c r="C20" s="616"/>
      <c r="D20" s="717"/>
      <c r="E20" s="133"/>
      <c r="F20" s="133"/>
      <c r="G20" s="1486"/>
      <c r="H20" s="1486"/>
      <c r="I20" s="1486"/>
      <c r="J20" s="139"/>
      <c r="K20" s="139"/>
    </row>
    <row r="21" spans="1:11" s="156" customFormat="1" ht="17.45" customHeight="1">
      <c r="A21" s="170" t="s">
        <v>705</v>
      </c>
      <c r="B21" s="144" t="s">
        <v>821</v>
      </c>
      <c r="C21" s="619">
        <v>0</v>
      </c>
      <c r="D21" s="718"/>
      <c r="E21" s="158"/>
      <c r="F21" s="158"/>
      <c r="G21" s="1486"/>
      <c r="H21" s="1486"/>
      <c r="I21" s="1486"/>
      <c r="J21" s="139"/>
      <c r="K21" s="139"/>
    </row>
    <row r="22" spans="1:11" s="156" customFormat="1" ht="15.75">
      <c r="A22" s="170" t="s">
        <v>706</v>
      </c>
      <c r="B22" s="144" t="s">
        <v>822</v>
      </c>
      <c r="C22" s="619">
        <v>0</v>
      </c>
      <c r="D22" s="718"/>
      <c r="E22" s="133"/>
      <c r="F22" s="133"/>
      <c r="G22" s="1486"/>
      <c r="H22" s="1486"/>
      <c r="I22" s="1486"/>
      <c r="J22" s="139"/>
      <c r="K22" s="139"/>
    </row>
    <row r="23" spans="1:11" s="156" customFormat="1" ht="15.75">
      <c r="A23" s="170" t="s">
        <v>707</v>
      </c>
      <c r="B23" s="144" t="s">
        <v>823</v>
      </c>
      <c r="C23" s="619">
        <v>0</v>
      </c>
      <c r="D23" s="718"/>
      <c r="E23" s="133"/>
      <c r="F23" s="133"/>
      <c r="G23" s="1486"/>
      <c r="H23" s="1486"/>
      <c r="I23" s="1486"/>
      <c r="J23" s="139"/>
      <c r="K23" s="139"/>
    </row>
    <row r="24" spans="1:11" s="156" customFormat="1" ht="15.75">
      <c r="A24" s="456" t="s">
        <v>1937</v>
      </c>
      <c r="B24" s="144" t="s">
        <v>824</v>
      </c>
      <c r="C24" s="609">
        <v>20771.53</v>
      </c>
      <c r="D24" s="716">
        <v>19165.71</v>
      </c>
      <c r="E24" s="133"/>
      <c r="F24" s="133"/>
      <c r="G24" s="1486"/>
      <c r="H24" s="1486"/>
      <c r="I24" s="1486"/>
      <c r="J24" s="139"/>
      <c r="K24" s="139"/>
    </row>
    <row r="25" spans="1:11" s="156" customFormat="1" ht="15.75">
      <c r="A25" s="147">
        <v>3</v>
      </c>
      <c r="B25" s="144" t="s">
        <v>708</v>
      </c>
      <c r="C25" s="609">
        <v>1947612.33</v>
      </c>
      <c r="D25" s="716"/>
      <c r="E25" s="133"/>
      <c r="F25" s="133"/>
      <c r="G25" s="1486"/>
      <c r="H25" s="1486"/>
      <c r="I25" s="1486"/>
      <c r="J25" s="139"/>
      <c r="K25" s="139"/>
    </row>
    <row r="26" spans="1:11" s="156" customFormat="1" ht="15.75">
      <c r="A26" s="147"/>
      <c r="B26" s="144" t="s">
        <v>826</v>
      </c>
      <c r="C26" s="616"/>
      <c r="D26" s="717"/>
      <c r="E26" s="133"/>
      <c r="F26" s="133"/>
      <c r="G26" s="1486"/>
      <c r="H26" s="1486"/>
      <c r="I26" s="1486"/>
      <c r="J26" s="139"/>
      <c r="K26" s="139"/>
    </row>
    <row r="27" spans="1:11" s="156" customFormat="1" ht="15.75">
      <c r="A27" s="170" t="s">
        <v>186</v>
      </c>
      <c r="B27" s="144" t="s">
        <v>825</v>
      </c>
      <c r="C27" s="619">
        <v>0</v>
      </c>
      <c r="D27" s="718"/>
      <c r="E27" s="133"/>
      <c r="F27" s="133"/>
      <c r="G27" s="1486"/>
      <c r="H27" s="1486"/>
      <c r="I27" s="1486"/>
      <c r="J27" s="139"/>
      <c r="K27" s="139"/>
    </row>
    <row r="28" spans="1:11" s="156" customFormat="1" ht="15.75">
      <c r="A28" s="171" t="s">
        <v>187</v>
      </c>
      <c r="B28" s="144" t="s">
        <v>827</v>
      </c>
      <c r="C28" s="609">
        <v>1947612.33</v>
      </c>
      <c r="D28" s="716"/>
      <c r="E28" s="133"/>
      <c r="F28" s="133"/>
      <c r="G28" s="1486"/>
      <c r="H28" s="1486"/>
      <c r="I28" s="1486"/>
      <c r="J28" s="139"/>
      <c r="K28" s="139"/>
    </row>
    <row r="29" spans="1:11" s="156" customFormat="1" ht="31.5">
      <c r="A29" s="456" t="s">
        <v>1939</v>
      </c>
      <c r="B29" s="144" t="s">
        <v>1938</v>
      </c>
      <c r="C29" s="619">
        <v>0</v>
      </c>
      <c r="D29" s="718"/>
      <c r="E29" s="133"/>
      <c r="F29" s="133"/>
      <c r="G29" s="1486"/>
      <c r="H29" s="1486"/>
      <c r="I29" s="1486"/>
      <c r="J29" s="139"/>
      <c r="K29" s="139"/>
    </row>
    <row r="30" spans="1:11" ht="15.75">
      <c r="A30" s="127"/>
      <c r="B30" s="1485"/>
      <c r="C30" s="1485"/>
      <c r="D30" s="1485"/>
      <c r="E30" s="1485"/>
      <c r="F30" s="1485"/>
      <c r="G30" s="1486"/>
      <c r="H30" s="1486"/>
      <c r="I30" s="1486"/>
      <c r="J30" s="120"/>
      <c r="K30" s="120"/>
    </row>
    <row r="31" spans="1:11" ht="15.75">
      <c r="A31" s="127"/>
      <c r="B31" s="1485"/>
      <c r="C31" s="1485"/>
      <c r="D31" s="1485"/>
      <c r="E31" s="1485"/>
      <c r="F31" s="1485"/>
      <c r="G31" s="1486"/>
      <c r="H31" s="1486"/>
      <c r="I31" s="1486"/>
      <c r="J31" s="120"/>
      <c r="K31" s="120"/>
    </row>
    <row r="32" spans="1:11" ht="15.75">
      <c r="A32" s="127"/>
      <c r="B32" s="1485"/>
      <c r="C32" s="1485"/>
      <c r="D32" s="1485"/>
      <c r="E32" s="1485"/>
      <c r="F32" s="1485"/>
      <c r="G32" s="1486"/>
      <c r="H32" s="1486"/>
      <c r="I32" s="1486"/>
      <c r="J32" s="120"/>
      <c r="K32" s="120"/>
    </row>
    <row r="33" spans="1:11" ht="15.75">
      <c r="A33" s="127"/>
      <c r="B33" s="1485"/>
      <c r="C33" s="1485"/>
      <c r="D33" s="1485"/>
      <c r="E33" s="1485"/>
      <c r="F33" s="1485"/>
      <c r="G33" s="1486"/>
      <c r="H33" s="1486"/>
      <c r="I33" s="1486"/>
      <c r="J33" s="120"/>
      <c r="K33" s="120"/>
    </row>
    <row r="34" spans="1:11" ht="15.75">
      <c r="A34" s="127"/>
      <c r="B34" s="1485"/>
      <c r="C34" s="1485"/>
      <c r="D34" s="1485"/>
      <c r="E34" s="1485"/>
      <c r="F34" s="1485"/>
      <c r="G34" s="1486"/>
      <c r="H34" s="1486"/>
      <c r="I34" s="1486"/>
      <c r="J34" s="120"/>
      <c r="K34" s="120"/>
    </row>
    <row r="35" spans="1:11" ht="15.75">
      <c r="A35" s="127"/>
      <c r="B35" s="1485"/>
      <c r="C35" s="1485"/>
      <c r="D35" s="1485"/>
      <c r="E35" s="1485"/>
      <c r="F35" s="1485"/>
      <c r="G35" s="1486"/>
      <c r="H35" s="1486"/>
      <c r="I35" s="1486"/>
      <c r="J35" s="120"/>
      <c r="K35" s="120"/>
    </row>
    <row r="36" spans="1:11" ht="15.75">
      <c r="A36" s="127"/>
      <c r="B36" s="1485"/>
      <c r="C36" s="1485"/>
      <c r="D36" s="1485"/>
      <c r="E36" s="1485"/>
      <c r="F36" s="1485"/>
      <c r="G36" s="1486"/>
      <c r="H36" s="1486"/>
      <c r="I36" s="1486"/>
      <c r="J36" s="120"/>
      <c r="K36" s="120"/>
    </row>
    <row r="37" spans="1:11" ht="15.75">
      <c r="A37" s="127"/>
      <c r="B37" s="1485"/>
      <c r="C37" s="1485"/>
      <c r="D37" s="1485"/>
      <c r="E37" s="1485"/>
      <c r="F37" s="1485"/>
      <c r="G37" s="1486"/>
      <c r="H37" s="1486"/>
      <c r="I37" s="1486"/>
      <c r="J37" s="120"/>
      <c r="K37" s="120"/>
    </row>
    <row r="38" spans="1:11" ht="15.75">
      <c r="A38" s="127"/>
      <c r="B38" s="1485"/>
      <c r="C38" s="1485"/>
      <c r="D38" s="1485"/>
      <c r="E38" s="1485"/>
      <c r="F38" s="1485"/>
      <c r="G38" s="1486"/>
      <c r="H38" s="1486"/>
      <c r="I38" s="1486"/>
      <c r="J38" s="120"/>
      <c r="K38" s="120"/>
    </row>
    <row r="39" spans="1:11" ht="15.75">
      <c r="A39" s="127"/>
      <c r="B39" s="1485"/>
      <c r="C39" s="1485"/>
      <c r="D39" s="1485"/>
      <c r="E39" s="1485"/>
      <c r="F39" s="1485"/>
      <c r="G39" s="1486"/>
      <c r="H39" s="1486"/>
      <c r="I39" s="1486"/>
      <c r="J39" s="120"/>
      <c r="K39" s="120"/>
    </row>
    <row r="40" spans="1:11" ht="15.75">
      <c r="A40" s="127"/>
      <c r="B40" s="1485"/>
      <c r="C40" s="1485"/>
      <c r="D40" s="1485"/>
      <c r="E40" s="1485"/>
      <c r="F40" s="1485"/>
      <c r="G40" s="1486"/>
      <c r="H40" s="1486"/>
      <c r="I40" s="1486"/>
      <c r="J40" s="120"/>
      <c r="K40" s="120"/>
    </row>
    <row r="41" spans="1:11" ht="15.75">
      <c r="A41" s="127"/>
      <c r="B41" s="1485"/>
      <c r="C41" s="1485"/>
      <c r="D41" s="1485"/>
      <c r="E41" s="1485"/>
      <c r="F41" s="1485"/>
      <c r="G41" s="1486"/>
      <c r="H41" s="1486"/>
      <c r="I41" s="1486"/>
      <c r="J41" s="120"/>
      <c r="K41" s="120"/>
    </row>
    <row r="42" spans="1:11" ht="15.75">
      <c r="A42" s="127"/>
      <c r="B42" s="1485"/>
      <c r="C42" s="1485"/>
      <c r="D42" s="1485"/>
      <c r="E42" s="1485"/>
      <c r="F42" s="1485"/>
      <c r="G42" s="1486"/>
      <c r="H42" s="1486"/>
      <c r="I42" s="1486"/>
      <c r="J42" s="120"/>
      <c r="K42" s="120"/>
    </row>
    <row r="43" spans="1:11" ht="15.75">
      <c r="A43" s="127"/>
      <c r="B43" s="1485"/>
      <c r="C43" s="1485"/>
      <c r="D43" s="1485"/>
      <c r="E43" s="1485"/>
      <c r="F43" s="1485"/>
      <c r="G43" s="1486"/>
      <c r="H43" s="1486"/>
      <c r="I43" s="1486"/>
      <c r="J43" s="120"/>
      <c r="K43" s="120"/>
    </row>
    <row r="44" spans="1:11" ht="15.75">
      <c r="A44" s="127"/>
      <c r="B44" s="1485"/>
      <c r="C44" s="1485"/>
      <c r="D44" s="1485"/>
      <c r="E44" s="1485"/>
      <c r="F44" s="1485"/>
      <c r="G44" s="1486"/>
      <c r="H44" s="1486"/>
      <c r="I44" s="1486"/>
      <c r="J44" s="120"/>
      <c r="K44" s="120"/>
    </row>
    <row r="45" spans="1:11" ht="15.75">
      <c r="A45" s="127"/>
      <c r="B45" s="1485"/>
      <c r="C45" s="1485"/>
      <c r="D45" s="1485"/>
      <c r="E45" s="1485"/>
      <c r="F45" s="1485"/>
      <c r="G45" s="1486"/>
      <c r="H45" s="1486"/>
      <c r="I45" s="1486"/>
      <c r="J45" s="120"/>
      <c r="K45" s="120"/>
    </row>
    <row r="46" spans="1:11" ht="15.75">
      <c r="A46" s="127"/>
      <c r="B46" s="1485"/>
      <c r="C46" s="1485"/>
      <c r="D46" s="1485"/>
      <c r="E46" s="1485"/>
      <c r="F46" s="1485"/>
      <c r="G46" s="1486"/>
      <c r="H46" s="1486"/>
      <c r="I46" s="1486"/>
      <c r="J46" s="120"/>
      <c r="K46" s="120"/>
    </row>
    <row r="47" spans="1:11" ht="15.75">
      <c r="A47" s="127"/>
      <c r="B47" s="1485"/>
      <c r="C47" s="1485"/>
      <c r="D47" s="1485"/>
      <c r="E47" s="1485"/>
      <c r="F47" s="1485"/>
      <c r="G47" s="1486"/>
      <c r="H47" s="1486"/>
      <c r="I47" s="1486"/>
      <c r="J47" s="120"/>
      <c r="K47" s="120"/>
    </row>
    <row r="48" spans="1:11" ht="15.75">
      <c r="A48" s="127"/>
      <c r="B48" s="1485"/>
      <c r="C48" s="1485"/>
      <c r="D48" s="1485"/>
      <c r="E48" s="1485"/>
      <c r="F48" s="1485"/>
      <c r="G48" s="1486"/>
      <c r="H48" s="1486"/>
      <c r="I48" s="1486"/>
      <c r="J48" s="120"/>
      <c r="K48" s="120"/>
    </row>
    <row r="49" spans="1:11" ht="15.75">
      <c r="A49" s="127"/>
      <c r="B49" s="1487"/>
      <c r="C49" s="1487"/>
      <c r="D49" s="1487"/>
      <c r="E49" s="1487"/>
      <c r="F49" s="1487"/>
      <c r="G49" s="1486"/>
      <c r="H49" s="1486"/>
      <c r="I49" s="1486"/>
      <c r="J49" s="120"/>
      <c r="K49" s="120"/>
    </row>
    <row r="50" spans="1:11" ht="15.75">
      <c r="A50" s="127"/>
      <c r="B50" s="1485"/>
      <c r="C50" s="1485"/>
      <c r="D50" s="1485"/>
      <c r="E50" s="1485"/>
      <c r="F50" s="1485"/>
      <c r="G50" s="1486"/>
      <c r="H50" s="1486"/>
      <c r="I50" s="1486"/>
      <c r="J50" s="120"/>
      <c r="K50" s="120"/>
    </row>
    <row r="51" spans="1:11" ht="15.75">
      <c r="A51" s="127"/>
      <c r="B51" s="1485"/>
      <c r="C51" s="1485"/>
      <c r="D51" s="1485"/>
      <c r="E51" s="1485"/>
      <c r="F51" s="1485"/>
      <c r="G51" s="1486"/>
      <c r="H51" s="1486"/>
      <c r="I51" s="1486"/>
      <c r="J51" s="120"/>
      <c r="K51" s="120"/>
    </row>
    <row r="52" spans="1:11" ht="15.75">
      <c r="A52" s="127"/>
      <c r="B52" s="1485"/>
      <c r="C52" s="1485"/>
      <c r="D52" s="1485"/>
      <c r="E52" s="1485"/>
      <c r="F52" s="1485"/>
      <c r="G52" s="1486"/>
      <c r="H52" s="1486"/>
      <c r="I52" s="1486"/>
      <c r="J52" s="120"/>
      <c r="K52" s="120"/>
    </row>
    <row r="53" spans="1:11" ht="15.75">
      <c r="A53" s="127"/>
      <c r="B53" s="1485"/>
      <c r="C53" s="1485"/>
      <c r="D53" s="1485"/>
      <c r="E53" s="1485"/>
      <c r="F53" s="1485"/>
      <c r="G53" s="1486"/>
      <c r="H53" s="1486"/>
      <c r="I53" s="1486"/>
      <c r="J53" s="120"/>
      <c r="K53" s="120"/>
    </row>
    <row r="54" spans="1:11" ht="15.75">
      <c r="A54" s="127"/>
      <c r="B54" s="1485"/>
      <c r="C54" s="1485"/>
      <c r="D54" s="1485"/>
      <c r="E54" s="1485"/>
      <c r="F54" s="1485"/>
      <c r="G54" s="1486"/>
      <c r="H54" s="1486"/>
      <c r="I54" s="1486"/>
      <c r="J54" s="120"/>
      <c r="K54" s="120"/>
    </row>
    <row r="55" spans="1:11" ht="15.75">
      <c r="A55" s="148"/>
      <c r="B55" s="133"/>
      <c r="C55" s="127"/>
      <c r="D55" s="133"/>
      <c r="E55" s="133"/>
      <c r="F55" s="133"/>
      <c r="G55" s="148"/>
      <c r="H55" s="148"/>
      <c r="I55" s="148"/>
      <c r="J55" s="151"/>
      <c r="K55" s="151"/>
    </row>
    <row r="56" spans="1:11" ht="15.75">
      <c r="A56" s="148"/>
      <c r="B56" s="133"/>
      <c r="C56" s="127"/>
      <c r="D56" s="133"/>
      <c r="E56" s="133"/>
      <c r="F56" s="133"/>
      <c r="G56" s="133"/>
      <c r="H56" s="148"/>
      <c r="I56" s="148"/>
      <c r="J56" s="151"/>
      <c r="K56" s="151"/>
    </row>
    <row r="65" spans="1:9" ht="15" customHeight="1">
      <c r="A65" s="154"/>
      <c r="B65" s="154"/>
      <c r="C65" s="154"/>
      <c r="D65" s="154"/>
      <c r="E65" s="154"/>
      <c r="F65" s="154"/>
      <c r="G65" s="154"/>
      <c r="H65" s="154"/>
      <c r="I65" s="154"/>
    </row>
    <row r="66" spans="1:9" ht="15" customHeight="1">
      <c r="A66" s="154"/>
      <c r="B66" s="154"/>
      <c r="C66" s="154"/>
      <c r="D66" s="154"/>
      <c r="E66" s="154"/>
      <c r="F66" s="154"/>
      <c r="G66" s="154"/>
      <c r="H66" s="154"/>
      <c r="I66" s="154"/>
    </row>
    <row r="67" spans="1:9" ht="15" customHeight="1">
      <c r="A67" s="154"/>
      <c r="B67" s="154"/>
      <c r="C67" s="154"/>
      <c r="D67" s="154"/>
      <c r="E67" s="154"/>
      <c r="F67" s="154"/>
      <c r="G67" s="154"/>
      <c r="H67" s="154"/>
      <c r="I67" s="154"/>
    </row>
    <row r="69" spans="1:9" ht="15" customHeight="1">
      <c r="A69" s="154"/>
      <c r="B69" s="154"/>
      <c r="C69" s="154"/>
      <c r="D69" s="154"/>
      <c r="E69" s="154"/>
      <c r="F69" s="154"/>
      <c r="G69" s="154"/>
      <c r="H69" s="154"/>
      <c r="I69" s="154"/>
    </row>
    <row r="70" spans="1:9" ht="15" customHeight="1">
      <c r="A70" s="154"/>
      <c r="B70" s="154"/>
      <c r="C70" s="154"/>
      <c r="D70" s="154"/>
      <c r="E70" s="154"/>
      <c r="F70" s="154"/>
      <c r="G70" s="154"/>
      <c r="H70" s="154"/>
      <c r="I70" s="154"/>
    </row>
    <row r="71" spans="1:9" ht="15" customHeight="1">
      <c r="A71" s="154"/>
      <c r="B71" s="154"/>
      <c r="C71" s="154"/>
      <c r="D71" s="154"/>
      <c r="E71" s="154"/>
      <c r="F71" s="154"/>
      <c r="G71" s="154"/>
      <c r="H71" s="154"/>
      <c r="I71" s="154"/>
    </row>
    <row r="72" spans="1:9" ht="15" customHeight="1">
      <c r="A72" s="154"/>
      <c r="B72" s="154"/>
      <c r="C72" s="154"/>
      <c r="D72" s="154"/>
      <c r="E72" s="154"/>
      <c r="F72" s="154"/>
      <c r="G72" s="154"/>
      <c r="H72" s="154"/>
      <c r="I72" s="154"/>
    </row>
    <row r="74" spans="1:9" ht="15" customHeight="1">
      <c r="A74" s="154"/>
      <c r="B74" s="154"/>
      <c r="C74" s="154"/>
      <c r="D74" s="154"/>
      <c r="E74" s="154"/>
      <c r="F74" s="154"/>
      <c r="G74" s="154"/>
      <c r="H74" s="154"/>
      <c r="I74" s="154"/>
    </row>
    <row r="75" spans="1:9" ht="15" customHeight="1">
      <c r="A75" s="154"/>
      <c r="B75" s="154"/>
      <c r="C75" s="154"/>
      <c r="D75" s="154"/>
      <c r="E75" s="154"/>
      <c r="F75" s="154"/>
      <c r="G75" s="154"/>
      <c r="H75" s="154"/>
      <c r="I75" s="154"/>
    </row>
    <row r="77" spans="1:9" ht="15" customHeight="1">
      <c r="A77" s="154"/>
      <c r="B77" s="154"/>
      <c r="C77" s="154"/>
      <c r="D77" s="154"/>
      <c r="E77" s="154"/>
      <c r="F77" s="154"/>
      <c r="G77" s="154"/>
      <c r="H77" s="154"/>
      <c r="I77" s="154"/>
    </row>
    <row r="78" spans="1:9" ht="15" customHeight="1">
      <c r="A78" s="154"/>
      <c r="B78" s="154"/>
      <c r="C78" s="154"/>
      <c r="D78" s="154"/>
      <c r="E78" s="154"/>
      <c r="F78" s="154"/>
      <c r="G78" s="154"/>
      <c r="H78" s="154"/>
      <c r="I78" s="154"/>
    </row>
    <row r="79" spans="1:9" ht="15" customHeight="1">
      <c r="A79" s="154"/>
      <c r="B79" s="154"/>
      <c r="C79" s="154"/>
      <c r="D79" s="154"/>
      <c r="E79" s="154"/>
      <c r="F79" s="154"/>
      <c r="G79" s="154"/>
      <c r="H79" s="154"/>
      <c r="I79" s="154"/>
    </row>
    <row r="80" spans="1:9" ht="15" customHeight="1">
      <c r="A80" s="154"/>
      <c r="B80" s="154"/>
      <c r="C80" s="154"/>
      <c r="D80" s="154"/>
      <c r="E80" s="154"/>
      <c r="F80" s="154"/>
      <c r="G80" s="154"/>
      <c r="H80" s="154"/>
      <c r="I80" s="154"/>
    </row>
    <row r="81" spans="1:9" ht="15" customHeight="1">
      <c r="A81" s="154"/>
      <c r="B81" s="154"/>
      <c r="C81" s="154"/>
      <c r="D81" s="154"/>
      <c r="E81" s="154"/>
      <c r="F81" s="154"/>
      <c r="G81" s="154"/>
      <c r="H81" s="154"/>
      <c r="I81" s="154"/>
    </row>
    <row r="83" spans="1:9" ht="15" customHeight="1">
      <c r="A83" s="154"/>
      <c r="B83" s="154"/>
      <c r="C83" s="154"/>
      <c r="D83" s="154"/>
      <c r="E83" s="154"/>
      <c r="F83" s="154"/>
      <c r="G83" s="154"/>
      <c r="H83" s="154"/>
      <c r="I83" s="154"/>
    </row>
    <row r="84" spans="1:9" ht="15" customHeight="1">
      <c r="A84" s="154"/>
      <c r="B84" s="154"/>
      <c r="C84" s="154"/>
      <c r="D84" s="154"/>
      <c r="E84" s="154"/>
      <c r="F84" s="154"/>
      <c r="G84" s="154"/>
      <c r="H84" s="154"/>
      <c r="I84" s="154"/>
    </row>
    <row r="86" spans="1:9" ht="15" customHeight="1">
      <c r="A86" s="154"/>
      <c r="B86" s="154"/>
      <c r="C86" s="154"/>
      <c r="D86" s="154"/>
      <c r="E86" s="154"/>
      <c r="F86" s="154"/>
      <c r="G86" s="154"/>
      <c r="H86" s="154"/>
      <c r="I86" s="154"/>
    </row>
    <row r="87" spans="1:9" ht="15" customHeight="1">
      <c r="A87" s="154"/>
      <c r="B87" s="154"/>
      <c r="C87" s="154"/>
      <c r="D87" s="154"/>
      <c r="E87" s="154"/>
      <c r="F87" s="154"/>
      <c r="G87" s="154"/>
      <c r="H87" s="154"/>
      <c r="I87" s="154"/>
    </row>
    <row r="88" spans="1:9" ht="15" customHeight="1">
      <c r="A88" s="154"/>
      <c r="B88" s="154"/>
      <c r="C88" s="154"/>
      <c r="D88" s="154"/>
      <c r="E88" s="154"/>
      <c r="F88" s="154"/>
      <c r="G88" s="154"/>
      <c r="H88" s="154"/>
      <c r="I88" s="154"/>
    </row>
    <row r="89" spans="1:9" ht="15" customHeight="1">
      <c r="A89" s="154"/>
      <c r="B89" s="154"/>
      <c r="C89" s="154"/>
      <c r="D89" s="154"/>
      <c r="E89" s="154"/>
      <c r="F89" s="154"/>
      <c r="G89" s="154"/>
      <c r="H89" s="154"/>
      <c r="I89" s="154"/>
    </row>
    <row r="90" spans="1:9" ht="15" customHeight="1">
      <c r="A90" s="154"/>
      <c r="B90" s="154"/>
      <c r="C90" s="154"/>
      <c r="D90" s="154"/>
      <c r="E90" s="154"/>
      <c r="F90" s="154"/>
      <c r="G90" s="154"/>
      <c r="H90" s="154"/>
      <c r="I90" s="154"/>
    </row>
    <row r="92" spans="1:9" ht="15" customHeight="1">
      <c r="A92" s="154"/>
      <c r="B92" s="154"/>
      <c r="C92" s="154"/>
      <c r="D92" s="154"/>
      <c r="E92" s="154"/>
      <c r="F92" s="154"/>
      <c r="G92" s="154"/>
      <c r="H92" s="154"/>
      <c r="I92" s="154"/>
    </row>
    <row r="93" spans="1:9" ht="15" customHeight="1">
      <c r="A93" s="154"/>
      <c r="B93" s="154"/>
      <c r="C93" s="154"/>
      <c r="D93" s="154"/>
      <c r="E93" s="154"/>
      <c r="F93" s="154"/>
      <c r="G93" s="154"/>
      <c r="H93" s="154"/>
      <c r="I93" s="154"/>
    </row>
    <row r="94" spans="1:9" ht="15" customHeight="1">
      <c r="A94" s="154"/>
      <c r="B94" s="154"/>
      <c r="C94" s="154"/>
      <c r="D94" s="154"/>
      <c r="E94" s="154"/>
      <c r="F94" s="154"/>
      <c r="G94" s="154"/>
      <c r="H94" s="154"/>
      <c r="I94" s="154"/>
    </row>
    <row r="95" spans="1:9" ht="15" customHeight="1">
      <c r="A95" s="154"/>
      <c r="B95" s="154"/>
      <c r="C95" s="154"/>
      <c r="D95" s="154"/>
      <c r="E95" s="154"/>
      <c r="F95" s="154"/>
      <c r="G95" s="154"/>
      <c r="H95" s="154"/>
      <c r="I95" s="154"/>
    </row>
    <row r="97" spans="1:9" ht="15" customHeight="1">
      <c r="A97" s="154"/>
      <c r="B97" s="154"/>
      <c r="C97" s="154"/>
      <c r="D97" s="154"/>
      <c r="E97" s="154"/>
      <c r="F97" s="154"/>
      <c r="G97" s="154"/>
      <c r="H97" s="154"/>
      <c r="I97" s="154"/>
    </row>
    <row r="98" spans="1:9" ht="15" customHeight="1">
      <c r="A98" s="154"/>
      <c r="B98" s="154"/>
      <c r="C98" s="154"/>
      <c r="D98" s="154"/>
      <c r="E98" s="154"/>
      <c r="F98" s="154"/>
      <c r="G98" s="154"/>
      <c r="H98" s="154"/>
      <c r="I98" s="154"/>
    </row>
    <row r="100" spans="1:9" ht="15" customHeight="1">
      <c r="A100" s="154"/>
      <c r="B100" s="154"/>
      <c r="C100" s="154"/>
      <c r="D100" s="154"/>
      <c r="E100" s="154"/>
      <c r="F100" s="154"/>
      <c r="G100" s="154"/>
      <c r="H100" s="154"/>
      <c r="I100" s="154"/>
    </row>
    <row r="101" spans="1:9" ht="15" customHeight="1">
      <c r="A101" s="154"/>
      <c r="B101" s="154"/>
      <c r="C101" s="154"/>
      <c r="D101" s="154"/>
      <c r="E101" s="154"/>
      <c r="F101" s="154"/>
      <c r="G101" s="154"/>
      <c r="H101" s="154"/>
      <c r="I101" s="154"/>
    </row>
    <row r="102" spans="1:9" ht="15" customHeight="1">
      <c r="A102" s="154"/>
      <c r="B102" s="154"/>
      <c r="C102" s="154"/>
      <c r="D102" s="154"/>
      <c r="E102" s="154"/>
      <c r="F102" s="154"/>
      <c r="G102" s="154"/>
      <c r="H102" s="154"/>
      <c r="I102" s="154"/>
    </row>
    <row r="103" spans="1:9" ht="15" customHeight="1">
      <c r="A103" s="154"/>
      <c r="B103" s="154"/>
      <c r="C103" s="154"/>
      <c r="D103" s="154"/>
      <c r="E103" s="154"/>
      <c r="F103" s="154"/>
      <c r="G103" s="154"/>
      <c r="H103" s="154"/>
      <c r="I103" s="154"/>
    </row>
    <row r="106" spans="1:9" ht="15" customHeight="1">
      <c r="A106" s="154"/>
      <c r="B106" s="154"/>
      <c r="C106" s="154"/>
      <c r="D106" s="154"/>
      <c r="E106" s="154"/>
      <c r="F106" s="154"/>
      <c r="G106" s="154"/>
      <c r="H106" s="154"/>
      <c r="I106" s="154"/>
    </row>
    <row r="108" spans="1:9" ht="15" customHeight="1">
      <c r="A108" s="154"/>
      <c r="B108" s="154"/>
      <c r="C108" s="154"/>
      <c r="D108" s="154"/>
      <c r="E108" s="154"/>
      <c r="F108" s="154"/>
      <c r="G108" s="154"/>
      <c r="H108" s="154"/>
      <c r="I108" s="154"/>
    </row>
    <row r="109" spans="1:9" ht="15" customHeight="1">
      <c r="A109" s="154"/>
      <c r="B109" s="154"/>
      <c r="C109" s="154"/>
      <c r="D109" s="154"/>
      <c r="E109" s="154"/>
      <c r="F109" s="154"/>
      <c r="G109" s="154"/>
      <c r="H109" s="154"/>
      <c r="I109" s="154"/>
    </row>
    <row r="110" spans="1:9" ht="15" customHeight="1">
      <c r="A110" s="154"/>
      <c r="B110" s="154"/>
      <c r="C110" s="154"/>
      <c r="D110" s="154"/>
      <c r="E110" s="154"/>
      <c r="F110" s="154"/>
      <c r="G110" s="154"/>
      <c r="H110" s="154"/>
      <c r="I110" s="154"/>
    </row>
    <row r="111" spans="1:9" ht="15" customHeight="1">
      <c r="A111" s="154"/>
      <c r="B111" s="154"/>
      <c r="C111" s="154"/>
      <c r="D111" s="154"/>
      <c r="E111" s="154"/>
      <c r="F111" s="154"/>
      <c r="G111" s="154"/>
      <c r="H111" s="154"/>
      <c r="I111" s="154"/>
    </row>
    <row r="112" spans="1:9" ht="15" customHeight="1">
      <c r="A112" s="154"/>
      <c r="B112" s="154"/>
      <c r="C112" s="154"/>
      <c r="D112" s="154"/>
      <c r="E112" s="154"/>
      <c r="F112" s="154"/>
      <c r="G112" s="154"/>
      <c r="H112" s="154"/>
      <c r="I112" s="154"/>
    </row>
    <row r="113" spans="1:9" ht="15" customHeight="1">
      <c r="A113" s="154"/>
      <c r="B113" s="154"/>
      <c r="C113" s="154"/>
      <c r="D113" s="154"/>
      <c r="E113" s="154"/>
      <c r="F113" s="154"/>
      <c r="G113" s="154"/>
      <c r="H113" s="154"/>
      <c r="I113" s="154"/>
    </row>
    <row r="114" spans="1:9" ht="15" customHeight="1">
      <c r="A114" s="154"/>
      <c r="B114" s="154"/>
      <c r="C114" s="154"/>
      <c r="D114" s="154"/>
      <c r="E114" s="154"/>
      <c r="F114" s="154"/>
      <c r="G114" s="154"/>
      <c r="H114" s="154"/>
      <c r="I114" s="154"/>
    </row>
    <row r="115" spans="1:9" ht="15" customHeight="1">
      <c r="A115" s="154"/>
      <c r="B115" s="154"/>
      <c r="C115" s="154"/>
      <c r="D115" s="154"/>
      <c r="E115" s="154"/>
      <c r="F115" s="154"/>
      <c r="G115" s="154"/>
      <c r="H115" s="154"/>
      <c r="I115" s="154"/>
    </row>
    <row r="116" spans="1:9" ht="15" customHeight="1">
      <c r="A116" s="154"/>
      <c r="B116" s="154"/>
      <c r="C116" s="154"/>
      <c r="D116" s="154"/>
      <c r="E116" s="154"/>
      <c r="F116" s="154"/>
      <c r="G116" s="154"/>
      <c r="H116" s="154"/>
      <c r="I116" s="154"/>
    </row>
    <row r="117" spans="1:9" ht="15" customHeight="1">
      <c r="A117" s="154"/>
      <c r="B117" s="154"/>
      <c r="C117" s="154"/>
      <c r="D117" s="154"/>
      <c r="E117" s="154"/>
      <c r="F117" s="154"/>
      <c r="G117" s="154"/>
      <c r="H117" s="154"/>
      <c r="I117" s="154"/>
    </row>
    <row r="118" spans="1:9" ht="15" customHeight="1">
      <c r="A118" s="154"/>
      <c r="B118" s="154"/>
      <c r="C118" s="154"/>
      <c r="D118" s="154"/>
      <c r="E118" s="154"/>
      <c r="F118" s="154"/>
      <c r="G118" s="154"/>
      <c r="H118" s="154"/>
      <c r="I118" s="154"/>
    </row>
    <row r="119" spans="1:9" ht="15" customHeight="1">
      <c r="A119" s="154"/>
      <c r="B119" s="154"/>
      <c r="C119" s="154"/>
      <c r="D119" s="154"/>
      <c r="E119" s="154"/>
      <c r="F119" s="154"/>
      <c r="G119" s="154"/>
      <c r="H119" s="154"/>
      <c r="I119" s="154"/>
    </row>
    <row r="120" spans="1:9" ht="15" customHeight="1">
      <c r="A120" s="154"/>
      <c r="B120" s="154"/>
      <c r="C120" s="154"/>
      <c r="D120" s="154"/>
      <c r="E120" s="154"/>
      <c r="F120" s="154"/>
      <c r="G120" s="154"/>
      <c r="H120" s="154"/>
      <c r="I120" s="154"/>
    </row>
    <row r="122" spans="1:9" ht="15" customHeight="1">
      <c r="A122" s="154"/>
      <c r="B122" s="154"/>
      <c r="C122" s="154"/>
      <c r="D122" s="154"/>
      <c r="E122" s="154"/>
      <c r="F122" s="154"/>
      <c r="G122" s="154"/>
      <c r="H122" s="154"/>
      <c r="I122" s="154"/>
    </row>
    <row r="123" spans="1:9" ht="15" customHeight="1">
      <c r="A123" s="154"/>
      <c r="B123" s="154"/>
      <c r="C123" s="154"/>
      <c r="D123" s="154"/>
      <c r="E123" s="154"/>
      <c r="F123" s="154"/>
      <c r="G123" s="154"/>
      <c r="H123" s="154"/>
      <c r="I123" s="154"/>
    </row>
    <row r="124" spans="1:9" ht="15" customHeight="1">
      <c r="A124" s="154"/>
      <c r="B124" s="154"/>
      <c r="C124" s="154"/>
      <c r="D124" s="154"/>
      <c r="E124" s="154"/>
      <c r="F124" s="154"/>
      <c r="G124" s="154"/>
      <c r="H124" s="154"/>
      <c r="I124" s="154"/>
    </row>
    <row r="126" spans="1:9" ht="15" customHeight="1">
      <c r="A126" s="154"/>
      <c r="B126" s="154"/>
      <c r="C126" s="154"/>
      <c r="D126" s="154"/>
      <c r="E126" s="154"/>
      <c r="F126" s="154"/>
      <c r="G126" s="154"/>
      <c r="H126" s="154"/>
      <c r="I126" s="154"/>
    </row>
    <row r="127" spans="1:9" ht="15" customHeight="1">
      <c r="A127" s="154"/>
      <c r="B127" s="154"/>
      <c r="C127" s="154"/>
      <c r="D127" s="154"/>
      <c r="E127" s="154"/>
      <c r="F127" s="154"/>
      <c r="G127" s="154"/>
      <c r="H127" s="154"/>
      <c r="I127" s="154"/>
    </row>
    <row r="128" spans="1:9" ht="15" customHeight="1">
      <c r="A128" s="154"/>
      <c r="B128" s="154"/>
      <c r="C128" s="154"/>
      <c r="D128" s="154"/>
      <c r="E128" s="154"/>
      <c r="F128" s="154"/>
      <c r="G128" s="154"/>
      <c r="H128" s="154"/>
      <c r="I128" s="154"/>
    </row>
    <row r="129" spans="1:9" ht="15" customHeight="1">
      <c r="A129" s="154"/>
      <c r="B129" s="154"/>
      <c r="C129" s="154"/>
      <c r="D129" s="154"/>
      <c r="E129" s="154"/>
      <c r="F129" s="154"/>
      <c r="G129" s="154"/>
      <c r="H129" s="154"/>
      <c r="I129" s="154"/>
    </row>
    <row r="135" spans="1:9" ht="14.25" customHeight="1">
      <c r="A135" s="154"/>
      <c r="B135" s="154"/>
      <c r="C135" s="154"/>
      <c r="D135" s="154"/>
      <c r="E135" s="154"/>
      <c r="F135" s="154"/>
      <c r="G135" s="154"/>
      <c r="H135" s="154"/>
      <c r="I135" s="154"/>
    </row>
    <row r="137" spans="1:9" ht="13.15" customHeight="1">
      <c r="A137" s="154"/>
      <c r="B137" s="154"/>
      <c r="C137" s="154"/>
      <c r="D137" s="154"/>
      <c r="E137" s="154"/>
      <c r="F137" s="154"/>
      <c r="G137" s="154"/>
      <c r="H137" s="154"/>
      <c r="I137" s="154"/>
    </row>
  </sheetData>
  <customSheetViews>
    <customSheetView guid="{CA0FB9E2-E541-4C74-BCFE-D75491869B36}" showPageBreaks="1" fitToPage="1" printArea="1" hiddenRows="1" view="pageBreakPreview" topLeftCell="A2">
      <selection activeCell="B12" sqref="B12"/>
      <colBreaks count="1" manualBreakCount="1">
        <brk id="3" max="1048575" man="1"/>
      </colBreaks>
      <pageMargins left="0.67" right="0.39370078740157483" top="0.36" bottom="0.59055118110236227" header="0.19" footer="0.28000000000000003"/>
      <pageSetup paperSize="9" fitToHeight="3" orientation="portrait" r:id="rId1"/>
      <headerFooter alignWithMargins="0"/>
    </customSheetView>
    <customSheetView guid="{F10E3D8B-5892-420A-B023-68C6496D556B}" showPageBreaks="1" fitToPage="1" printArea="1" hiddenRows="1" view="pageBreakPreview" topLeftCell="A17">
      <selection activeCell="B48" sqref="B48:F48"/>
      <colBreaks count="1" manualBreakCount="1">
        <brk id="3" max="1048575" man="1"/>
      </colBreaks>
      <pageMargins left="0.67" right="0.39370078740157483" top="0.36" bottom="0.59055118110236227" header="0.19" footer="0.28000000000000003"/>
      <pageSetup paperSize="9" fitToHeight="3" orientation="portrait" r:id="rId2"/>
      <headerFooter alignWithMargins="0"/>
    </customSheetView>
    <customSheetView guid="{FE7E58EF-FECC-4DF6-BB75-BA97138CB219}" showPageBreaks="1" fitToPage="1" printArea="1" hiddenRows="1" view="pageBreakPreview" topLeftCell="A2">
      <selection activeCell="B26" sqref="B26"/>
      <colBreaks count="1" manualBreakCount="1">
        <brk id="3" max="1048575" man="1"/>
      </colBreaks>
      <pageMargins left="0.67" right="0.39370078740157483" top="0.36" bottom="0.59055118110236227" header="0.19" footer="0.28000000000000003"/>
      <pageSetup paperSize="9" fitToHeight="3" orientation="portrait" r:id="rId3"/>
      <headerFooter alignWithMargins="0"/>
    </customSheetView>
    <customSheetView guid="{43136B00-66C6-4289-99D3-5EF20611F834}" showPageBreaks="1" fitToPage="1" printArea="1" hiddenRows="1" view="pageBreakPreview" topLeftCell="A2">
      <selection activeCell="B12" sqref="B12"/>
      <colBreaks count="1" manualBreakCount="1">
        <brk id="3" max="1048575" man="1"/>
      </colBreaks>
      <pageMargins left="0.67" right="0.39370078740157483" top="0.36" bottom="0.59055118110236227" header="0.19" footer="0.28000000000000003"/>
      <pageSetup paperSize="9" fitToHeight="3" orientation="portrait" r:id="rId4"/>
      <headerFooter alignWithMargins="0"/>
    </customSheetView>
    <customSheetView guid="{22820B9F-10DE-4629-AF3D-4AF98A9BCEDB}" showPageBreaks="1" fitToPage="1" printArea="1" hiddenRows="1" view="pageBreakPreview" topLeftCell="A2">
      <selection activeCell="B12" sqref="B12"/>
      <colBreaks count="1" manualBreakCount="1">
        <brk id="3" max="1048575" man="1"/>
      </colBreaks>
      <pageMargins left="0.67" right="0.39370078740157483" top="0.36" bottom="0.59055118110236227" header="0.19" footer="0.28000000000000003"/>
      <pageSetup paperSize="9" fitToHeight="3" orientation="portrait" r:id="rId5"/>
      <headerFooter alignWithMargins="0"/>
    </customSheetView>
  </customSheetViews>
  <mergeCells count="70">
    <mergeCell ref="G25:I25"/>
    <mergeCell ref="G24:I24"/>
    <mergeCell ref="G5:I5"/>
    <mergeCell ref="G7:I7"/>
    <mergeCell ref="B30:F30"/>
    <mergeCell ref="B2:C2"/>
    <mergeCell ref="A4:C4"/>
    <mergeCell ref="G26:I26"/>
    <mergeCell ref="G21:I21"/>
    <mergeCell ref="G27:I27"/>
    <mergeCell ref="G30:I30"/>
    <mergeCell ref="G28:I28"/>
    <mergeCell ref="G29:I29"/>
    <mergeCell ref="G22:I22"/>
    <mergeCell ref="G8:I8"/>
    <mergeCell ref="G11:I11"/>
    <mergeCell ref="G12:I12"/>
    <mergeCell ref="G10:I10"/>
    <mergeCell ref="G13:I13"/>
    <mergeCell ref="G20:I20"/>
    <mergeCell ref="G19:I19"/>
    <mergeCell ref="G23:I23"/>
    <mergeCell ref="B31:F31"/>
    <mergeCell ref="G35:I35"/>
    <mergeCell ref="B33:F33"/>
    <mergeCell ref="B36:F36"/>
    <mergeCell ref="G36:I36"/>
    <mergeCell ref="G33:I33"/>
    <mergeCell ref="G37:I37"/>
    <mergeCell ref="B38:F38"/>
    <mergeCell ref="G38:I38"/>
    <mergeCell ref="B37:F37"/>
    <mergeCell ref="G31:I31"/>
    <mergeCell ref="B34:F34"/>
    <mergeCell ref="G34:I34"/>
    <mergeCell ref="B35:F35"/>
    <mergeCell ref="B32:F32"/>
    <mergeCell ref="G32:I32"/>
    <mergeCell ref="B39:F39"/>
    <mergeCell ref="G39:I39"/>
    <mergeCell ref="B41:F41"/>
    <mergeCell ref="G41:I41"/>
    <mergeCell ref="B42:F42"/>
    <mergeCell ref="G42:I42"/>
    <mergeCell ref="B40:F40"/>
    <mergeCell ref="G40:I40"/>
    <mergeCell ref="B43:F43"/>
    <mergeCell ref="G43:I43"/>
    <mergeCell ref="B51:F51"/>
    <mergeCell ref="G51:I51"/>
    <mergeCell ref="B50:F50"/>
    <mergeCell ref="G50:I50"/>
    <mergeCell ref="B44:F44"/>
    <mergeCell ref="G44:I44"/>
    <mergeCell ref="B54:F54"/>
    <mergeCell ref="G54:I54"/>
    <mergeCell ref="B45:F45"/>
    <mergeCell ref="G45:I45"/>
    <mergeCell ref="B46:F46"/>
    <mergeCell ref="G46:I46"/>
    <mergeCell ref="B47:F47"/>
    <mergeCell ref="G47:I47"/>
    <mergeCell ref="B53:F53"/>
    <mergeCell ref="G53:I53"/>
    <mergeCell ref="B52:F52"/>
    <mergeCell ref="G52:I52"/>
    <mergeCell ref="B48:F48"/>
    <mergeCell ref="G48:I48"/>
    <mergeCell ref="B49:F49"/>
    <mergeCell ref="G49:I49"/>
  </mergeCells>
  <phoneticPr fontId="116" type="noConversion"/>
  <pageMargins left="0.67" right="0.39370078740157483" top="0.36" bottom="0.59055118110236227" header="0.19" footer="0.28000000000000003"/>
  <pageSetup paperSize="9" fitToHeight="3" orientation="portrait" r:id="rId6"/>
  <headerFooter alignWithMargins="0"/>
  <colBreaks count="1" manualBreakCount="1">
    <brk id="3" max="1048575" man="1"/>
  </colBreaks>
</worksheet>
</file>

<file path=xl/worksheets/sheet60.xml><?xml version="1.0" encoding="utf-8"?>
<worksheet xmlns="http://schemas.openxmlformats.org/spreadsheetml/2006/main" xmlns:r="http://schemas.openxmlformats.org/officeDocument/2006/relationships">
  <sheetPr>
    <tabColor rgb="FF3366FF"/>
  </sheetPr>
  <dimension ref="A1:S26"/>
  <sheetViews>
    <sheetView view="pageBreakPreview" zoomScaleNormal="100" zoomScaleSheetLayoutView="100" workbookViewId="0">
      <selection activeCell="G4" sqref="G4:L4"/>
    </sheetView>
  </sheetViews>
  <sheetFormatPr defaultRowHeight="15"/>
  <cols>
    <col min="1" max="1" width="4.140625" style="28" customWidth="1"/>
    <col min="2" max="2" width="11.5703125" style="28" customWidth="1"/>
    <col min="3" max="3" width="5.42578125" style="28" customWidth="1"/>
    <col min="4" max="4" width="2.5703125" style="28" customWidth="1"/>
    <col min="5" max="5" width="3.140625" style="28" customWidth="1"/>
    <col min="6" max="6" width="4.5703125" style="28" customWidth="1"/>
    <col min="7" max="7" width="5" style="28" customWidth="1"/>
    <col min="8" max="8" width="6.140625" style="28" customWidth="1"/>
    <col min="9" max="9" width="2.140625" style="28" customWidth="1"/>
    <col min="10" max="11" width="5" style="28" customWidth="1"/>
    <col min="12" max="12" width="9.7109375" style="28" customWidth="1"/>
    <col min="13" max="13" width="5" style="28" customWidth="1"/>
    <col min="14" max="14" width="8.140625" style="28" customWidth="1"/>
    <col min="15" max="15" width="20.28515625" style="28" customWidth="1"/>
    <col min="16" max="16" width="9.140625" style="28"/>
    <col min="17" max="17" width="13.85546875" style="28" customWidth="1"/>
    <col min="18" max="16384" width="9.140625" style="28"/>
  </cols>
  <sheetData>
    <row r="1" spans="1:19" ht="15.75">
      <c r="A1" s="267"/>
      <c r="B1" s="267"/>
      <c r="C1" s="267"/>
      <c r="D1" s="267"/>
      <c r="E1" s="267"/>
      <c r="F1" s="267"/>
      <c r="G1" s="267"/>
      <c r="H1" s="267"/>
      <c r="I1" s="267"/>
      <c r="J1" s="267"/>
      <c r="K1" s="267"/>
      <c r="L1" s="267"/>
      <c r="M1" s="267"/>
      <c r="N1" s="267"/>
      <c r="O1" s="209" t="s">
        <v>30</v>
      </c>
    </row>
    <row r="2" spans="1:19" ht="15.75">
      <c r="A2" s="267"/>
      <c r="B2" s="267"/>
      <c r="C2" s="267"/>
      <c r="D2" s="267"/>
      <c r="E2" s="267"/>
      <c r="F2" s="267"/>
      <c r="G2" s="267"/>
      <c r="H2" s="267"/>
      <c r="I2" s="267"/>
      <c r="J2" s="267"/>
      <c r="K2" s="267"/>
      <c r="L2" s="267"/>
      <c r="M2" s="267"/>
      <c r="N2" s="267"/>
      <c r="O2" s="209"/>
    </row>
    <row r="3" spans="1:19" ht="15.75">
      <c r="A3" s="1861" t="s">
        <v>1385</v>
      </c>
      <c r="B3" s="1861"/>
      <c r="C3" s="1861"/>
      <c r="D3" s="1861"/>
      <c r="E3" s="1861"/>
      <c r="F3" s="1861"/>
      <c r="G3" s="1861"/>
      <c r="H3" s="1861"/>
      <c r="I3" s="1861"/>
      <c r="J3" s="1861"/>
      <c r="K3" s="1861"/>
      <c r="L3" s="1861"/>
      <c r="M3" s="1861"/>
      <c r="N3" s="1861"/>
      <c r="O3" s="1861"/>
    </row>
    <row r="4" spans="1:19" ht="31.5" customHeight="1">
      <c r="A4" s="419"/>
      <c r="B4" s="419"/>
      <c r="C4" s="419"/>
      <c r="D4" s="419"/>
      <c r="E4" s="419"/>
      <c r="F4" s="419"/>
      <c r="G4" s="1861"/>
      <c r="H4" s="1861"/>
      <c r="I4" s="1861"/>
      <c r="J4" s="1861"/>
      <c r="K4" s="1861"/>
      <c r="L4" s="1861"/>
      <c r="M4" s="419"/>
      <c r="N4" s="419"/>
      <c r="O4" s="419"/>
    </row>
    <row r="5" spans="1:19" ht="15.75">
      <c r="A5" s="1975" t="s">
        <v>473</v>
      </c>
      <c r="B5" s="1975"/>
      <c r="C5" s="1975"/>
      <c r="D5" s="1975"/>
      <c r="E5" s="1975"/>
      <c r="F5" s="1975"/>
      <c r="G5" s="1975"/>
      <c r="H5" s="1975"/>
      <c r="I5" s="1975"/>
      <c r="J5" s="1975"/>
      <c r="K5" s="1975"/>
      <c r="L5" s="1975"/>
      <c r="M5" s="1975"/>
      <c r="N5" s="1975"/>
      <c r="O5" s="1975"/>
    </row>
    <row r="6" spans="1:19" ht="15.75">
      <c r="A6" s="311"/>
      <c r="B6" s="311"/>
      <c r="C6" s="311"/>
      <c r="D6" s="311"/>
      <c r="E6" s="311"/>
      <c r="F6" s="311"/>
      <c r="G6" s="311"/>
      <c r="H6" s="311"/>
      <c r="I6" s="311"/>
      <c r="J6" s="311"/>
      <c r="K6" s="311"/>
      <c r="L6" s="311"/>
      <c r="M6" s="311"/>
      <c r="N6" s="311"/>
      <c r="O6" s="311"/>
    </row>
    <row r="7" spans="1:19" ht="15.75">
      <c r="A7" s="1975" t="s">
        <v>1059</v>
      </c>
      <c r="B7" s="1975"/>
      <c r="C7" s="1975"/>
      <c r="D7" s="1975"/>
      <c r="E7" s="1975"/>
      <c r="F7" s="1975"/>
      <c r="G7" s="1975"/>
      <c r="H7" s="1975"/>
      <c r="I7" s="1975"/>
      <c r="J7" s="1975"/>
      <c r="K7" s="1975"/>
      <c r="L7" s="1975"/>
      <c r="M7" s="1975"/>
      <c r="N7" s="1975"/>
      <c r="O7" s="1975"/>
    </row>
    <row r="8" spans="1:19" ht="15.75">
      <c r="A8" s="267"/>
      <c r="B8" s="267"/>
      <c r="C8" s="267"/>
      <c r="D8" s="267"/>
      <c r="E8" s="267"/>
      <c r="F8" s="267"/>
      <c r="G8" s="267"/>
      <c r="H8" s="267"/>
      <c r="I8" s="267"/>
      <c r="J8" s="267"/>
      <c r="K8" s="267"/>
      <c r="L8" s="267"/>
      <c r="M8" s="267"/>
      <c r="N8" s="267"/>
      <c r="O8" s="267"/>
    </row>
    <row r="9" spans="1:19" ht="31.5">
      <c r="A9" s="312" t="s">
        <v>1267</v>
      </c>
      <c r="B9" s="1969" t="s">
        <v>218</v>
      </c>
      <c r="C9" s="1970"/>
      <c r="D9" s="1970"/>
      <c r="E9" s="1970"/>
      <c r="F9" s="1970"/>
      <c r="G9" s="1970"/>
      <c r="H9" s="1970"/>
      <c r="I9" s="1970"/>
      <c r="J9" s="1970"/>
      <c r="K9" s="1970"/>
      <c r="L9" s="1970"/>
      <c r="M9" s="1970"/>
      <c r="N9" s="1971"/>
      <c r="O9" s="228" t="s">
        <v>90</v>
      </c>
    </row>
    <row r="10" spans="1:19" ht="15.75">
      <c r="A10" s="312">
        <v>1</v>
      </c>
      <c r="B10" s="1969">
        <v>2</v>
      </c>
      <c r="C10" s="1970"/>
      <c r="D10" s="1970"/>
      <c r="E10" s="1970"/>
      <c r="F10" s="1970"/>
      <c r="G10" s="1970"/>
      <c r="H10" s="1970"/>
      <c r="I10" s="1970"/>
      <c r="J10" s="1970"/>
      <c r="K10" s="1970"/>
      <c r="L10" s="1970"/>
      <c r="M10" s="1970"/>
      <c r="N10" s="1971"/>
      <c r="O10" s="237">
        <v>3</v>
      </c>
    </row>
    <row r="11" spans="1:19" ht="15.75">
      <c r="A11" s="312">
        <v>1</v>
      </c>
      <c r="B11" s="1972" t="s">
        <v>1802</v>
      </c>
      <c r="C11" s="1973"/>
      <c r="D11" s="1973"/>
      <c r="E11" s="1973"/>
      <c r="F11" s="1973"/>
      <c r="G11" s="1973"/>
      <c r="H11" s="1973"/>
      <c r="I11" s="1973"/>
      <c r="J11" s="1973"/>
      <c r="K11" s="1973"/>
      <c r="L11" s="1973"/>
      <c r="M11" s="1973"/>
      <c r="N11" s="1974"/>
      <c r="O11" s="595"/>
    </row>
    <row r="12" spans="1:19" ht="15.75">
      <c r="A12" s="312">
        <v>2</v>
      </c>
      <c r="B12" s="1972" t="s">
        <v>1096</v>
      </c>
      <c r="C12" s="1973"/>
      <c r="D12" s="1973"/>
      <c r="E12" s="1973"/>
      <c r="F12" s="1973"/>
      <c r="G12" s="1973"/>
      <c r="H12" s="1973"/>
      <c r="I12" s="1973"/>
      <c r="J12" s="1973"/>
      <c r="K12" s="1973"/>
      <c r="L12" s="1973"/>
      <c r="M12" s="1973"/>
      <c r="N12" s="1974"/>
      <c r="O12" s="595"/>
    </row>
    <row r="13" spans="1:19" ht="21" customHeight="1">
      <c r="A13" s="312">
        <v>3</v>
      </c>
      <c r="B13" s="1980" t="s">
        <v>219</v>
      </c>
      <c r="C13" s="1980"/>
      <c r="D13" s="1980"/>
      <c r="E13" s="1980"/>
      <c r="F13" s="1980"/>
      <c r="G13" s="1980"/>
      <c r="H13" s="1980"/>
      <c r="I13" s="1980"/>
      <c r="J13" s="1980"/>
      <c r="K13" s="1980"/>
      <c r="L13" s="1980"/>
      <c r="M13" s="1980"/>
      <c r="N13" s="1981"/>
      <c r="O13" s="1978">
        <f>B14*J14</f>
        <v>2141.08</v>
      </c>
      <c r="P13" s="1976"/>
      <c r="Q13" s="1977"/>
    </row>
    <row r="14" spans="1:19" ht="32.25" customHeight="1">
      <c r="A14" s="314"/>
      <c r="B14" s="1991">
        <v>535.27</v>
      </c>
      <c r="C14" s="1968"/>
      <c r="D14" s="1968"/>
      <c r="E14" s="1968" t="s">
        <v>220</v>
      </c>
      <c r="F14" s="1968"/>
      <c r="G14" s="1968"/>
      <c r="H14" s="1968"/>
      <c r="I14" s="316" t="s">
        <v>82</v>
      </c>
      <c r="J14" s="316">
        <v>4</v>
      </c>
      <c r="K14" s="1968" t="s">
        <v>221</v>
      </c>
      <c r="L14" s="1968"/>
      <c r="M14" s="1968"/>
      <c r="N14" s="316"/>
      <c r="O14" s="1979"/>
      <c r="P14" s="1976"/>
      <c r="Q14" s="1977"/>
      <c r="R14" s="82"/>
      <c r="S14" s="82"/>
    </row>
    <row r="15" spans="1:19" ht="21" hidden="1" customHeight="1">
      <c r="A15" s="246">
        <v>5</v>
      </c>
      <c r="B15" s="1983" t="s">
        <v>1920</v>
      </c>
      <c r="C15" s="1984"/>
      <c r="D15" s="1984"/>
      <c r="E15" s="1984"/>
      <c r="F15" s="1984"/>
      <c r="G15" s="1984"/>
      <c r="H15" s="1984"/>
      <c r="I15" s="1984"/>
      <c r="J15" s="1984"/>
      <c r="K15" s="1984"/>
      <c r="L15" s="1984"/>
      <c r="M15" s="1984"/>
      <c r="N15" s="1985"/>
      <c r="O15" s="596">
        <f>B17*E17+B19*E19</f>
        <v>0</v>
      </c>
      <c r="Q15" s="81"/>
      <c r="R15" s="82"/>
      <c r="S15" s="82"/>
    </row>
    <row r="16" spans="1:19" s="584" customFormat="1" ht="35.25" hidden="1" customHeight="1">
      <c r="A16" s="591"/>
      <c r="B16" s="1986" t="s">
        <v>1060</v>
      </c>
      <c r="C16" s="1987"/>
      <c r="D16" s="1987"/>
      <c r="E16" s="1987"/>
      <c r="F16" s="1987"/>
      <c r="G16" s="1987"/>
      <c r="H16" s="1987"/>
      <c r="I16" s="1987"/>
      <c r="J16" s="1987"/>
      <c r="K16" s="1987"/>
      <c r="L16" s="1987"/>
      <c r="M16" s="1987"/>
      <c r="N16" s="1987"/>
      <c r="O16" s="597"/>
    </row>
    <row r="17" spans="1:19" s="584" customFormat="1" ht="20.45" hidden="1" customHeight="1">
      <c r="A17" s="583"/>
      <c r="B17" s="585">
        <v>7500</v>
      </c>
      <c r="C17" s="586" t="s">
        <v>1276</v>
      </c>
      <c r="D17" s="586" t="s">
        <v>82</v>
      </c>
      <c r="E17" s="586"/>
      <c r="F17" s="586" t="s">
        <v>1061</v>
      </c>
      <c r="G17" s="586"/>
      <c r="H17" s="586"/>
      <c r="I17" s="586"/>
      <c r="J17" s="586"/>
      <c r="K17" s="589"/>
      <c r="L17" s="447"/>
      <c r="M17" s="447"/>
      <c r="N17" s="447"/>
      <c r="O17" s="598"/>
    </row>
    <row r="18" spans="1:19" s="584" customFormat="1" ht="114.75" hidden="1" customHeight="1">
      <c r="A18" s="587"/>
      <c r="B18" s="1989" t="s">
        <v>1244</v>
      </c>
      <c r="C18" s="1990"/>
      <c r="D18" s="1990"/>
      <c r="E18" s="1990"/>
      <c r="F18" s="1990"/>
      <c r="G18" s="1990"/>
      <c r="H18" s="1990"/>
      <c r="I18" s="1990"/>
      <c r="J18" s="1990"/>
      <c r="K18" s="1990">
        <f>B19*E19</f>
        <v>0</v>
      </c>
      <c r="L18" s="1990"/>
      <c r="M18" s="1990"/>
      <c r="N18" s="1990"/>
      <c r="O18" s="598"/>
    </row>
    <row r="19" spans="1:19" s="584" customFormat="1" ht="23.25" hidden="1" customHeight="1">
      <c r="A19" s="588"/>
      <c r="B19" s="592">
        <v>3500</v>
      </c>
      <c r="C19" s="594" t="s">
        <v>1276</v>
      </c>
      <c r="D19" s="558" t="s">
        <v>82</v>
      </c>
      <c r="E19" s="558"/>
      <c r="F19" s="558" t="s">
        <v>1061</v>
      </c>
      <c r="G19" s="1988"/>
      <c r="H19" s="1988"/>
      <c r="I19" s="1988"/>
      <c r="J19" s="1988"/>
      <c r="K19" s="590"/>
      <c r="L19" s="593"/>
      <c r="M19" s="593"/>
      <c r="N19" s="593"/>
      <c r="O19" s="599"/>
    </row>
    <row r="20" spans="1:19" ht="15.75">
      <c r="A20" s="314"/>
      <c r="B20" s="1982" t="s">
        <v>183</v>
      </c>
      <c r="C20" s="1982"/>
      <c r="D20" s="1982"/>
      <c r="E20" s="1982"/>
      <c r="F20" s="1982"/>
      <c r="G20" s="1982"/>
      <c r="H20" s="1982"/>
      <c r="I20" s="1982"/>
      <c r="J20" s="1982"/>
      <c r="K20" s="1982"/>
      <c r="L20" s="1982"/>
      <c r="M20" s="1982"/>
      <c r="N20" s="1982"/>
      <c r="O20" s="600">
        <f>O13+O15</f>
        <v>2141.08</v>
      </c>
      <c r="Q20" s="81"/>
      <c r="R20" s="83"/>
      <c r="S20" s="82"/>
    </row>
    <row r="21" spans="1:19" ht="15.75">
      <c r="A21" s="267"/>
      <c r="B21" s="267"/>
      <c r="C21" s="275"/>
      <c r="D21" s="267"/>
      <c r="E21" s="267"/>
      <c r="F21" s="267"/>
      <c r="G21" s="267"/>
      <c r="H21" s="267"/>
      <c r="I21" s="267"/>
      <c r="J21" s="267"/>
      <c r="K21" s="267"/>
      <c r="L21" s="267"/>
      <c r="M21" s="267"/>
      <c r="N21" s="267"/>
      <c r="O21" s="267"/>
      <c r="Q21" s="81"/>
      <c r="R21" s="82"/>
      <c r="S21" s="82"/>
    </row>
    <row r="23" spans="1:19" s="207" customFormat="1" ht="15.75">
      <c r="B23" s="234" t="s">
        <v>1077</v>
      </c>
      <c r="C23" s="311"/>
      <c r="D23" s="311"/>
      <c r="E23" s="311"/>
      <c r="F23" s="311"/>
      <c r="G23" s="511"/>
      <c r="H23" s="311"/>
      <c r="I23" s="311"/>
      <c r="K23" s="311"/>
      <c r="L23" s="507"/>
      <c r="O23" s="507" t="s">
        <v>1040</v>
      </c>
    </row>
    <row r="24" spans="1:19" s="207" customFormat="1" ht="31.5" customHeight="1">
      <c r="B24" s="221"/>
      <c r="C24" s="217"/>
      <c r="E24" s="217"/>
      <c r="F24" s="510"/>
      <c r="G24" s="511"/>
      <c r="H24" s="511"/>
      <c r="I24" s="510"/>
      <c r="K24" s="510"/>
      <c r="L24" s="523" t="s">
        <v>1078</v>
      </c>
      <c r="M24" s="527"/>
      <c r="N24" s="527"/>
      <c r="O24" s="524" t="s">
        <v>1079</v>
      </c>
    </row>
    <row r="25" spans="1:19" s="207" customFormat="1" ht="15.75">
      <c r="B25" s="234" t="s">
        <v>1076</v>
      </c>
      <c r="C25" s="311"/>
      <c r="D25" s="311"/>
      <c r="E25" s="311"/>
      <c r="F25" s="311"/>
      <c r="G25" s="511"/>
      <c r="H25" s="311"/>
      <c r="I25" s="311"/>
      <c r="K25" s="311"/>
      <c r="L25" s="529"/>
      <c r="M25" s="527"/>
      <c r="N25" s="527"/>
      <c r="O25" s="529" t="s">
        <v>1245</v>
      </c>
    </row>
    <row r="26" spans="1:19" s="207" customFormat="1" ht="31.5" customHeight="1">
      <c r="B26" s="221"/>
      <c r="C26" s="217"/>
      <c r="E26" s="217"/>
      <c r="F26" s="510"/>
      <c r="G26" s="511"/>
      <c r="H26" s="511"/>
      <c r="I26" s="510"/>
      <c r="K26" s="510"/>
      <c r="L26" s="523" t="s">
        <v>1078</v>
      </c>
      <c r="M26" s="527"/>
      <c r="N26" s="527"/>
      <c r="O26" s="524" t="s">
        <v>1079</v>
      </c>
    </row>
  </sheetData>
  <mergeCells count="19">
    <mergeCell ref="P13:Q14"/>
    <mergeCell ref="O13:O14"/>
    <mergeCell ref="B13:N13"/>
    <mergeCell ref="B20:N20"/>
    <mergeCell ref="B15:N15"/>
    <mergeCell ref="B16:N16"/>
    <mergeCell ref="G19:J19"/>
    <mergeCell ref="B18:N18"/>
    <mergeCell ref="B14:D14"/>
    <mergeCell ref="E14:H14"/>
    <mergeCell ref="K14:M14"/>
    <mergeCell ref="B10:N10"/>
    <mergeCell ref="B12:N12"/>
    <mergeCell ref="A3:O3"/>
    <mergeCell ref="A5:O5"/>
    <mergeCell ref="A7:O7"/>
    <mergeCell ref="B9:N9"/>
    <mergeCell ref="G4:L4"/>
    <mergeCell ref="B11:N11"/>
  </mergeCells>
  <phoneticPr fontId="116" type="noConversion"/>
  <printOptions horizontalCentered="1"/>
  <pageMargins left="0.35433070866141736" right="0.15748031496062992" top="0.74803149606299213" bottom="0.74803149606299213" header="0.31496062992125984" footer="0.31496062992125984"/>
  <pageSetup paperSize="9" orientation="portrait" r:id="rId1"/>
</worksheet>
</file>

<file path=xl/worksheets/sheet61.xml><?xml version="1.0" encoding="utf-8"?>
<worksheet xmlns="http://schemas.openxmlformats.org/spreadsheetml/2006/main" xmlns:r="http://schemas.openxmlformats.org/officeDocument/2006/relationships">
  <sheetPr codeName="Лист24">
    <tabColor rgb="FFFF0000"/>
  </sheetPr>
  <dimension ref="A1:S26"/>
  <sheetViews>
    <sheetView view="pageBreakPreview" topLeftCell="A19" zoomScaleNormal="100" zoomScaleSheetLayoutView="100" workbookViewId="0">
      <selection activeCell="Q18" sqref="Q18"/>
    </sheetView>
  </sheetViews>
  <sheetFormatPr defaultRowHeight="15"/>
  <cols>
    <col min="1" max="1" width="4.140625" style="28" customWidth="1"/>
    <col min="2" max="2" width="11.5703125" style="28" customWidth="1"/>
    <col min="3" max="3" width="5.42578125" style="28" customWidth="1"/>
    <col min="4" max="4" width="2.5703125" style="28" customWidth="1"/>
    <col min="5" max="5" width="3.140625" style="28" customWidth="1"/>
    <col min="6" max="6" width="4.5703125" style="28" customWidth="1"/>
    <col min="7" max="7" width="5" style="28" customWidth="1"/>
    <col min="8" max="8" width="6.140625" style="28" customWidth="1"/>
    <col min="9" max="9" width="2.140625" style="28" customWidth="1"/>
    <col min="10" max="11" width="5" style="28" customWidth="1"/>
    <col min="12" max="12" width="9.7109375" style="28" customWidth="1"/>
    <col min="13" max="13" width="5" style="28" customWidth="1"/>
    <col min="14" max="14" width="8.140625" style="28" customWidth="1"/>
    <col min="15" max="15" width="20.28515625" style="28" customWidth="1"/>
    <col min="16" max="16" width="9.140625" style="28"/>
    <col min="17" max="17" width="13.85546875" style="28" customWidth="1"/>
    <col min="18" max="16384" width="9.140625" style="28"/>
  </cols>
  <sheetData>
    <row r="1" spans="1:19" ht="15.75">
      <c r="A1" s="267"/>
      <c r="B1" s="267"/>
      <c r="C1" s="267"/>
      <c r="D1" s="267"/>
      <c r="E1" s="267"/>
      <c r="F1" s="267"/>
      <c r="G1" s="267"/>
      <c r="H1" s="267"/>
      <c r="I1" s="267"/>
      <c r="J1" s="267"/>
      <c r="K1" s="267"/>
      <c r="L1" s="267"/>
      <c r="M1" s="267"/>
      <c r="N1" s="267"/>
      <c r="O1" s="209" t="s">
        <v>30</v>
      </c>
    </row>
    <row r="2" spans="1:19" ht="15.75">
      <c r="A2" s="267"/>
      <c r="B2" s="267"/>
      <c r="C2" s="267"/>
      <c r="D2" s="267"/>
      <c r="E2" s="267"/>
      <c r="F2" s="267"/>
      <c r="G2" s="267"/>
      <c r="H2" s="267"/>
      <c r="I2" s="267"/>
      <c r="J2" s="267"/>
      <c r="K2" s="267"/>
      <c r="L2" s="267"/>
      <c r="M2" s="267"/>
      <c r="N2" s="267"/>
      <c r="O2" s="209"/>
    </row>
    <row r="3" spans="1:19" ht="15.75">
      <c r="A3" s="1861" t="s">
        <v>1385</v>
      </c>
      <c r="B3" s="1861"/>
      <c r="C3" s="1861"/>
      <c r="D3" s="1861"/>
      <c r="E3" s="1861"/>
      <c r="F3" s="1861"/>
      <c r="G3" s="1861"/>
      <c r="H3" s="1861"/>
      <c r="I3" s="1861"/>
      <c r="J3" s="1861"/>
      <c r="K3" s="1861"/>
      <c r="L3" s="1861"/>
      <c r="M3" s="1861"/>
      <c r="N3" s="1861"/>
      <c r="O3" s="1861"/>
    </row>
    <row r="4" spans="1:19" ht="34.700000000000003" customHeight="1">
      <c r="A4" s="419"/>
      <c r="B4" s="419"/>
      <c r="C4" s="419"/>
      <c r="D4" s="419"/>
      <c r="E4" s="419"/>
      <c r="F4" s="419"/>
      <c r="G4" s="1861" t="s">
        <v>472</v>
      </c>
      <c r="H4" s="1861"/>
      <c r="I4" s="1861"/>
      <c r="J4" s="1861"/>
      <c r="K4" s="1861"/>
      <c r="L4" s="1861"/>
      <c r="M4" s="419"/>
      <c r="N4" s="419"/>
      <c r="O4" s="419"/>
    </row>
    <row r="5" spans="1:19" ht="15.75">
      <c r="A5" s="1975" t="s">
        <v>1246</v>
      </c>
      <c r="B5" s="1975"/>
      <c r="C5" s="1975"/>
      <c r="D5" s="1975"/>
      <c r="E5" s="1975"/>
      <c r="F5" s="1975"/>
      <c r="G5" s="1975"/>
      <c r="H5" s="1975"/>
      <c r="I5" s="1975"/>
      <c r="J5" s="1975"/>
      <c r="K5" s="1975"/>
      <c r="L5" s="1975"/>
      <c r="M5" s="1975"/>
      <c r="N5" s="1975"/>
      <c r="O5" s="1975"/>
    </row>
    <row r="6" spans="1:19" ht="15.75">
      <c r="A6" s="311"/>
      <c r="B6" s="311"/>
      <c r="C6" s="311"/>
      <c r="D6" s="311"/>
      <c r="E6" s="311"/>
      <c r="F6" s="311"/>
      <c r="G6" s="311"/>
      <c r="H6" s="311"/>
      <c r="I6" s="311"/>
      <c r="J6" s="311"/>
      <c r="K6" s="311"/>
      <c r="L6" s="311"/>
      <c r="M6" s="311"/>
      <c r="N6" s="311"/>
      <c r="O6" s="311"/>
    </row>
    <row r="7" spans="1:19" ht="15.75">
      <c r="A7" s="1975" t="s">
        <v>1059</v>
      </c>
      <c r="B7" s="1975"/>
      <c r="C7" s="1975"/>
      <c r="D7" s="1975"/>
      <c r="E7" s="1975"/>
      <c r="F7" s="1975"/>
      <c r="G7" s="1975"/>
      <c r="H7" s="1975"/>
      <c r="I7" s="1975"/>
      <c r="J7" s="1975"/>
      <c r="K7" s="1975"/>
      <c r="L7" s="1975"/>
      <c r="M7" s="1975"/>
      <c r="N7" s="1975"/>
      <c r="O7" s="1975"/>
    </row>
    <row r="8" spans="1:19" ht="15.75">
      <c r="A8" s="267"/>
      <c r="B8" s="267"/>
      <c r="C8" s="267"/>
      <c r="D8" s="267"/>
      <c r="E8" s="267"/>
      <c r="F8" s="267"/>
      <c r="G8" s="267"/>
      <c r="H8" s="267"/>
      <c r="I8" s="267"/>
      <c r="J8" s="267"/>
      <c r="K8" s="267"/>
      <c r="L8" s="267"/>
      <c r="M8" s="267"/>
      <c r="N8" s="267"/>
      <c r="O8" s="267"/>
    </row>
    <row r="9" spans="1:19" ht="31.5">
      <c r="A9" s="312" t="s">
        <v>1267</v>
      </c>
      <c r="B9" s="1969" t="s">
        <v>218</v>
      </c>
      <c r="C9" s="1970"/>
      <c r="D9" s="1970"/>
      <c r="E9" s="1970"/>
      <c r="F9" s="1970"/>
      <c r="G9" s="1970"/>
      <c r="H9" s="1970"/>
      <c r="I9" s="1970"/>
      <c r="J9" s="1970"/>
      <c r="K9" s="1970"/>
      <c r="L9" s="1970"/>
      <c r="M9" s="1970"/>
      <c r="N9" s="1971"/>
      <c r="O9" s="228" t="s">
        <v>90</v>
      </c>
    </row>
    <row r="10" spans="1:19" ht="15.75">
      <c r="A10" s="312">
        <v>1</v>
      </c>
      <c r="B10" s="1969">
        <v>2</v>
      </c>
      <c r="C10" s="1970"/>
      <c r="D10" s="1970"/>
      <c r="E10" s="1970"/>
      <c r="F10" s="1970"/>
      <c r="G10" s="1970"/>
      <c r="H10" s="1970"/>
      <c r="I10" s="1970"/>
      <c r="J10" s="1970"/>
      <c r="K10" s="1970"/>
      <c r="L10" s="1970"/>
      <c r="M10" s="1970"/>
      <c r="N10" s="1971"/>
      <c r="O10" s="237">
        <v>3</v>
      </c>
    </row>
    <row r="11" spans="1:19" ht="15.75">
      <c r="A11" s="312">
        <v>1</v>
      </c>
      <c r="B11" s="1972" t="s">
        <v>1802</v>
      </c>
      <c r="C11" s="1973"/>
      <c r="D11" s="1973"/>
      <c r="E11" s="1973"/>
      <c r="F11" s="1973"/>
      <c r="G11" s="1973"/>
      <c r="H11" s="1973"/>
      <c r="I11" s="1973"/>
      <c r="J11" s="1973"/>
      <c r="K11" s="1973"/>
      <c r="L11" s="1973"/>
      <c r="M11" s="1973"/>
      <c r="N11" s="1974"/>
      <c r="O11" s="595"/>
    </row>
    <row r="12" spans="1:19" ht="15.75">
      <c r="A12" s="312">
        <v>2</v>
      </c>
      <c r="B12" s="1972" t="s">
        <v>1096</v>
      </c>
      <c r="C12" s="1973"/>
      <c r="D12" s="1973"/>
      <c r="E12" s="1973"/>
      <c r="F12" s="1973"/>
      <c r="G12" s="1973"/>
      <c r="H12" s="1973"/>
      <c r="I12" s="1973"/>
      <c r="J12" s="1973"/>
      <c r="K12" s="1973"/>
      <c r="L12" s="1973"/>
      <c r="M12" s="1973"/>
      <c r="N12" s="1974"/>
      <c r="O12" s="595"/>
    </row>
    <row r="13" spans="1:19" ht="21" customHeight="1">
      <c r="A13" s="246">
        <v>3</v>
      </c>
      <c r="B13" s="1983" t="s">
        <v>1131</v>
      </c>
      <c r="C13" s="1984"/>
      <c r="D13" s="1984"/>
      <c r="E13" s="1984"/>
      <c r="F13" s="1984"/>
      <c r="G13" s="1984"/>
      <c r="H13" s="1984"/>
      <c r="I13" s="1984"/>
      <c r="J13" s="1984"/>
      <c r="K13" s="1984"/>
      <c r="L13" s="1984"/>
      <c r="M13" s="1984"/>
      <c r="N13" s="1985"/>
      <c r="O13" s="596">
        <f>B15*E15+B17*E17+B19*E19</f>
        <v>0</v>
      </c>
      <c r="Q13" s="81"/>
      <c r="R13" s="82"/>
      <c r="S13" s="82"/>
    </row>
    <row r="14" spans="1:19" s="584" customFormat="1" ht="35.25" customHeight="1">
      <c r="A14" s="591"/>
      <c r="B14" s="1986" t="s">
        <v>1060</v>
      </c>
      <c r="C14" s="1987"/>
      <c r="D14" s="1987"/>
      <c r="E14" s="1987"/>
      <c r="F14" s="1987"/>
      <c r="G14" s="1987"/>
      <c r="H14" s="1987"/>
      <c r="I14" s="1987"/>
      <c r="J14" s="1987"/>
      <c r="K14" s="1987"/>
      <c r="L14" s="1987"/>
      <c r="M14" s="1987"/>
      <c r="N14" s="1987"/>
      <c r="O14" s="597"/>
    </row>
    <row r="15" spans="1:19" s="584" customFormat="1" ht="20.45" customHeight="1">
      <c r="A15" s="583"/>
      <c r="B15" s="585"/>
      <c r="C15" s="586" t="s">
        <v>1276</v>
      </c>
      <c r="D15" s="586" t="s">
        <v>82</v>
      </c>
      <c r="E15" s="586">
        <v>1</v>
      </c>
      <c r="F15" s="586" t="s">
        <v>1061</v>
      </c>
      <c r="G15" s="586"/>
      <c r="H15" s="586"/>
      <c r="I15" s="586"/>
      <c r="J15" s="586"/>
      <c r="K15" s="589"/>
      <c r="L15" s="447"/>
      <c r="M15" s="447"/>
      <c r="N15" s="447"/>
      <c r="O15" s="598"/>
    </row>
    <row r="16" spans="1:19" s="584" customFormat="1" ht="114.75" customHeight="1">
      <c r="A16" s="587"/>
      <c r="B16" s="1989" t="s">
        <v>1244</v>
      </c>
      <c r="C16" s="1990"/>
      <c r="D16" s="1990"/>
      <c r="E16" s="1990"/>
      <c r="F16" s="1990"/>
      <c r="G16" s="1990"/>
      <c r="H16" s="1990"/>
      <c r="I16" s="1990"/>
      <c r="J16" s="1990"/>
      <c r="K16" s="1990">
        <f>B17*E17</f>
        <v>0</v>
      </c>
      <c r="L16" s="1990"/>
      <c r="M16" s="1990"/>
      <c r="N16" s="1990"/>
      <c r="O16" s="598"/>
      <c r="P16" s="719"/>
    </row>
    <row r="17" spans="1:19" s="584" customFormat="1" ht="23.25" customHeight="1">
      <c r="A17" s="588"/>
      <c r="B17" s="592"/>
      <c r="C17" s="594" t="s">
        <v>1276</v>
      </c>
      <c r="D17" s="558" t="s">
        <v>82</v>
      </c>
      <c r="E17" s="558">
        <v>1</v>
      </c>
      <c r="F17" s="558" t="s">
        <v>1061</v>
      </c>
      <c r="G17" s="1988"/>
      <c r="H17" s="1988"/>
      <c r="I17" s="1988"/>
      <c r="J17" s="1988"/>
      <c r="K17" s="590"/>
      <c r="L17" s="593"/>
      <c r="M17" s="593"/>
      <c r="N17" s="593"/>
      <c r="O17" s="599"/>
      <c r="P17" s="719"/>
    </row>
    <row r="18" spans="1:19" s="584" customFormat="1" ht="99" customHeight="1">
      <c r="A18" s="587"/>
      <c r="B18" s="1992" t="s">
        <v>237</v>
      </c>
      <c r="C18" s="1993"/>
      <c r="D18" s="1993"/>
      <c r="E18" s="1993"/>
      <c r="F18" s="1993"/>
      <c r="G18" s="1993"/>
      <c r="H18" s="1993"/>
      <c r="I18" s="1993"/>
      <c r="J18" s="1993"/>
      <c r="K18" s="1993">
        <f>B19*E19</f>
        <v>0</v>
      </c>
      <c r="L18" s="1993"/>
      <c r="M18" s="1993"/>
      <c r="N18" s="1993"/>
      <c r="O18" s="598"/>
      <c r="P18" s="719"/>
    </row>
    <row r="19" spans="1:19" s="584" customFormat="1" ht="23.25" customHeight="1">
      <c r="A19" s="588"/>
      <c r="B19" s="592"/>
      <c r="C19" s="594" t="s">
        <v>1276</v>
      </c>
      <c r="D19" s="558" t="s">
        <v>82</v>
      </c>
      <c r="E19" s="558">
        <v>1</v>
      </c>
      <c r="F19" s="558" t="s">
        <v>1061</v>
      </c>
      <c r="G19" s="1988"/>
      <c r="H19" s="1988"/>
      <c r="I19" s="1988"/>
      <c r="J19" s="1988"/>
      <c r="K19" s="590"/>
      <c r="L19" s="593"/>
      <c r="M19" s="593"/>
      <c r="N19" s="593"/>
      <c r="O19" s="599"/>
      <c r="P19" s="719"/>
    </row>
    <row r="20" spans="1:19" ht="15.75">
      <c r="A20" s="314"/>
      <c r="B20" s="1982" t="s">
        <v>183</v>
      </c>
      <c r="C20" s="1982"/>
      <c r="D20" s="1982"/>
      <c r="E20" s="1982"/>
      <c r="F20" s="1982"/>
      <c r="G20" s="1982"/>
      <c r="H20" s="1982"/>
      <c r="I20" s="1982"/>
      <c r="J20" s="1982"/>
      <c r="K20" s="1982"/>
      <c r="L20" s="1982"/>
      <c r="M20" s="1982"/>
      <c r="N20" s="1982"/>
      <c r="O20" s="600">
        <f>O13</f>
        <v>0</v>
      </c>
      <c r="P20" s="721"/>
      <c r="Q20" s="81"/>
      <c r="R20" s="83"/>
      <c r="S20" s="82"/>
    </row>
    <row r="21" spans="1:19" ht="15.75" customHeight="1">
      <c r="A21" s="267"/>
      <c r="B21" s="1994"/>
      <c r="C21" s="1994"/>
      <c r="D21" s="1994"/>
      <c r="E21" s="1994"/>
      <c r="F21" s="1994"/>
      <c r="G21" s="1994"/>
      <c r="H21" s="1994"/>
      <c r="I21" s="1994"/>
      <c r="J21" s="1994"/>
      <c r="K21" s="1994"/>
      <c r="L21" s="1994"/>
      <c r="M21" s="1994"/>
      <c r="N21" s="1994"/>
      <c r="O21" s="267"/>
      <c r="P21" s="720"/>
      <c r="Q21" s="81"/>
      <c r="R21" s="82"/>
      <c r="S21" s="82"/>
    </row>
    <row r="22" spans="1:19">
      <c r="B22" s="1995"/>
      <c r="C22" s="1995"/>
      <c r="D22" s="1995"/>
      <c r="E22" s="1995"/>
      <c r="F22" s="1995"/>
      <c r="G22" s="1995"/>
      <c r="H22" s="1995"/>
      <c r="I22" s="1995"/>
      <c r="J22" s="1995"/>
      <c r="K22" s="1995"/>
      <c r="L22" s="1995"/>
      <c r="M22" s="1995"/>
      <c r="N22" s="1995"/>
    </row>
    <row r="23" spans="1:19" s="207" customFormat="1" ht="15.75">
      <c r="B23" s="234" t="s">
        <v>1077</v>
      </c>
      <c r="C23" s="311"/>
      <c r="D23" s="311"/>
      <c r="E23" s="311"/>
      <c r="F23" s="311"/>
      <c r="G23" s="511"/>
      <c r="H23" s="311"/>
      <c r="I23" s="311"/>
      <c r="K23" s="311"/>
      <c r="L23" s="507"/>
      <c r="O23" s="507" t="s">
        <v>1040</v>
      </c>
    </row>
    <row r="24" spans="1:19" s="207" customFormat="1" ht="31.5" customHeight="1">
      <c r="B24" s="221"/>
      <c r="C24" s="217"/>
      <c r="E24" s="217"/>
      <c r="F24" s="510"/>
      <c r="G24" s="511"/>
      <c r="H24" s="511"/>
      <c r="I24" s="510"/>
      <c r="K24" s="510"/>
      <c r="L24" s="523" t="s">
        <v>1078</v>
      </c>
      <c r="M24" s="527"/>
      <c r="N24" s="527"/>
      <c r="O24" s="524" t="s">
        <v>1079</v>
      </c>
    </row>
    <row r="25" spans="1:19" s="207" customFormat="1" ht="15.75">
      <c r="B25" s="234" t="s">
        <v>1076</v>
      </c>
      <c r="C25" s="311"/>
      <c r="D25" s="311"/>
      <c r="E25" s="311"/>
      <c r="F25" s="311"/>
      <c r="G25" s="511"/>
      <c r="H25" s="311"/>
      <c r="I25" s="311"/>
      <c r="K25" s="311"/>
      <c r="L25" s="529"/>
      <c r="M25" s="527"/>
      <c r="N25" s="527"/>
      <c r="O25" s="529" t="s">
        <v>1245</v>
      </c>
    </row>
    <row r="26" spans="1:19" s="207" customFormat="1" ht="31.5" customHeight="1">
      <c r="B26" s="221"/>
      <c r="C26" s="217"/>
      <c r="E26" s="217"/>
      <c r="F26" s="510"/>
      <c r="G26" s="511"/>
      <c r="H26" s="511"/>
      <c r="I26" s="510"/>
      <c r="K26" s="510"/>
      <c r="L26" s="523" t="s">
        <v>1078</v>
      </c>
      <c r="M26" s="527"/>
      <c r="N26" s="527"/>
      <c r="O26" s="524" t="s">
        <v>1079</v>
      </c>
    </row>
  </sheetData>
  <customSheetViews>
    <customSheetView guid="{CA0FB9E2-E541-4C74-BCFE-D75491869B36}" showPageBreaks="1" printArea="1" view="pageBreakPreview">
      <selection activeCell="K14" sqref="K14:L14"/>
      <pageMargins left="0.35433070866141736" right="0.15748031496062992" top="0.74803149606299213" bottom="0.74803149606299213" header="0.31496062992125984" footer="0.31496062992125984"/>
      <printOptions horizontalCentered="1"/>
      <pageSetup paperSize="9" orientation="portrait" r:id="rId1"/>
    </customSheetView>
    <customSheetView guid="{F10E3D8B-5892-420A-B023-68C6496D556B}" showPageBreaks="1" printArea="1">
      <selection activeCell="B15" sqref="B15:N15"/>
      <pageMargins left="0.35433070866141736" right="0.15748031496062992" top="0.74803149606299213" bottom="0.74803149606299213" header="0.31496062992125984" footer="0.31496062992125984"/>
      <printOptions horizontalCentered="1"/>
      <pageSetup paperSize="9" orientation="portrait" r:id="rId2"/>
    </customSheetView>
    <customSheetView guid="{FE7E58EF-FECC-4DF6-BB75-BA97138CB219}" showPageBreaks="1" printArea="1">
      <selection activeCell="B15" sqref="B15:N15"/>
      <pageMargins left="0.35433070866141736" right="0.15748031496062992" top="0.74803149606299213" bottom="0.74803149606299213" header="0.31496062992125984" footer="0.31496062992125984"/>
      <printOptions horizontalCentered="1"/>
      <pageSetup paperSize="9" orientation="portrait" r:id="rId3"/>
    </customSheetView>
    <customSheetView guid="{43136B00-66C6-4289-99D3-5EF20611F834}" showPageBreaks="1" printArea="1">
      <selection activeCell="B12" sqref="B12:N12"/>
      <pageMargins left="0.35433070866141736" right="0.15748031496062992" top="0.74803149606299213" bottom="0.74803149606299213" header="0.31496062992125984" footer="0.31496062992125984"/>
      <printOptions horizontalCentered="1"/>
      <pageSetup paperSize="9" orientation="portrait" r:id="rId4"/>
    </customSheetView>
    <customSheetView guid="{22820B9F-10DE-4629-AF3D-4AF98A9BCEDB}" showPageBreaks="1" printArea="1" view="pageBreakPreview">
      <selection activeCell="A21" sqref="A21:IV24"/>
      <pageMargins left="0.35433070866141736" right="0.15748031496062992" top="0.74803149606299213" bottom="0.74803149606299213" header="0.31496062992125984" footer="0.31496062992125984"/>
      <printOptions horizontalCentered="1"/>
      <pageSetup paperSize="9" orientation="portrait" r:id="rId5"/>
    </customSheetView>
  </customSheetViews>
  <mergeCells count="16">
    <mergeCell ref="B21:N22"/>
    <mergeCell ref="A3:O3"/>
    <mergeCell ref="A5:O5"/>
    <mergeCell ref="A7:O7"/>
    <mergeCell ref="B9:N9"/>
    <mergeCell ref="B20:N20"/>
    <mergeCell ref="G17:J17"/>
    <mergeCell ref="B14:N14"/>
    <mergeCell ref="B16:N16"/>
    <mergeCell ref="G4:L4"/>
    <mergeCell ref="B18:N18"/>
    <mergeCell ref="G19:J19"/>
    <mergeCell ref="B13:N13"/>
    <mergeCell ref="B10:N10"/>
    <mergeCell ref="B11:N11"/>
    <mergeCell ref="B12:N12"/>
  </mergeCells>
  <phoneticPr fontId="116" type="noConversion"/>
  <printOptions horizontalCentered="1"/>
  <pageMargins left="0.35433070866141736" right="0.15748031496062992" top="0.74803149606299213" bottom="0.74803149606299213" header="0.31496062992125984" footer="0.31496062992125984"/>
  <pageSetup paperSize="9" orientation="portrait" r:id="rId6"/>
</worksheet>
</file>

<file path=xl/worksheets/sheet62.xml><?xml version="1.0" encoding="utf-8"?>
<worksheet xmlns="http://schemas.openxmlformats.org/spreadsheetml/2006/main" xmlns:r="http://schemas.openxmlformats.org/officeDocument/2006/relationships">
  <sheetPr>
    <tabColor rgb="FF92D050"/>
    <pageSetUpPr fitToPage="1"/>
  </sheetPr>
  <dimension ref="A1:O34"/>
  <sheetViews>
    <sheetView zoomScale="83" zoomScaleNormal="83" workbookViewId="0">
      <selection activeCell="B10" sqref="B10"/>
    </sheetView>
  </sheetViews>
  <sheetFormatPr defaultRowHeight="15"/>
  <cols>
    <col min="1" max="1" width="56.140625" style="1418" customWidth="1"/>
    <col min="2" max="2" width="23.140625" style="1418" customWidth="1"/>
    <col min="3" max="3" width="25.42578125" style="1418" customWidth="1"/>
    <col min="4" max="4" width="16.42578125" style="1418" customWidth="1"/>
    <col min="5" max="5" width="16" style="1418" customWidth="1"/>
    <col min="6" max="6" width="9.140625" style="1418"/>
    <col min="7" max="7" width="16.42578125" style="1418" customWidth="1"/>
    <col min="8" max="16384" width="9.140625" style="1418"/>
  </cols>
  <sheetData>
    <row r="1" spans="1:6" ht="15.75">
      <c r="A1" s="1416"/>
      <c r="B1" s="1416"/>
      <c r="C1" s="1416"/>
      <c r="D1" s="1416"/>
      <c r="E1" s="1417"/>
    </row>
    <row r="2" spans="1:6" ht="15.75">
      <c r="A2" s="1416"/>
      <c r="B2" s="1416"/>
      <c r="C2" s="1416"/>
      <c r="D2" s="1416"/>
      <c r="E2" s="1417"/>
    </row>
    <row r="3" spans="1:6" ht="15.75">
      <c r="A3" s="2001" t="s">
        <v>137</v>
      </c>
      <c r="B3" s="2001"/>
      <c r="C3" s="2001"/>
      <c r="D3" s="2001"/>
      <c r="E3" s="2001"/>
      <c r="F3" s="9"/>
    </row>
    <row r="4" spans="1:6" ht="15.75">
      <c r="A4" s="1427"/>
      <c r="B4" s="1427"/>
      <c r="C4" s="1427"/>
      <c r="D4" s="1427"/>
      <c r="E4" s="1427"/>
      <c r="F4" s="9"/>
    </row>
    <row r="5" spans="1:6" ht="15.75">
      <c r="A5" s="2001" t="s">
        <v>136</v>
      </c>
      <c r="B5" s="2001"/>
      <c r="C5" s="2001"/>
      <c r="D5" s="2001"/>
      <c r="E5" s="2001"/>
      <c r="F5" s="9"/>
    </row>
    <row r="6" spans="1:6" ht="15.75">
      <c r="A6" s="2001" t="s">
        <v>2511</v>
      </c>
      <c r="B6" s="2001"/>
      <c r="C6" s="2001"/>
      <c r="D6" s="2001"/>
      <c r="E6" s="2001"/>
      <c r="F6" s="9"/>
    </row>
    <row r="7" spans="1:6" ht="15.75">
      <c r="A7" s="1416"/>
      <c r="B7" s="1416"/>
      <c r="C7" s="1416"/>
      <c r="D7" s="1416"/>
      <c r="E7" s="1416"/>
    </row>
    <row r="8" spans="1:6" ht="47.25">
      <c r="A8" s="1419" t="s">
        <v>1297</v>
      </c>
      <c r="B8" s="1419" t="s">
        <v>1743</v>
      </c>
      <c r="C8" s="1419" t="s">
        <v>188</v>
      </c>
      <c r="D8" s="1419" t="s">
        <v>189</v>
      </c>
      <c r="E8" s="1419" t="s">
        <v>90</v>
      </c>
    </row>
    <row r="9" spans="1:6" ht="15.75">
      <c r="A9" s="1420">
        <v>2</v>
      </c>
      <c r="B9" s="1420">
        <v>3</v>
      </c>
      <c r="C9" s="1420">
        <v>4</v>
      </c>
      <c r="D9" s="1420">
        <v>5</v>
      </c>
      <c r="E9" s="1420">
        <v>6</v>
      </c>
    </row>
    <row r="10" spans="1:6" ht="63">
      <c r="A10" s="1430" t="s">
        <v>2504</v>
      </c>
      <c r="B10" s="1431" t="s">
        <v>2516</v>
      </c>
      <c r="C10" s="1431" t="s">
        <v>1212</v>
      </c>
      <c r="D10" s="1432">
        <v>310</v>
      </c>
      <c r="E10" s="1433">
        <f>E11+E12</f>
        <v>172372</v>
      </c>
      <c r="F10" s="1423"/>
    </row>
    <row r="11" spans="1:6" ht="97.5" hidden="1" customHeight="1">
      <c r="A11" s="1434" t="s">
        <v>2517</v>
      </c>
      <c r="B11" s="1435"/>
      <c r="C11" s="1435"/>
      <c r="D11" s="1436"/>
      <c r="E11" s="1437">
        <f>'[9]310'!I15</f>
        <v>87372</v>
      </c>
      <c r="F11" s="1423"/>
    </row>
    <row r="12" spans="1:6" ht="15.75">
      <c r="A12" s="1438" t="s">
        <v>2518</v>
      </c>
      <c r="B12" s="1439"/>
      <c r="C12" s="1439"/>
      <c r="D12" s="1440"/>
      <c r="E12" s="1441">
        <f>'[9]310 учеб.'!Q26</f>
        <v>85000</v>
      </c>
      <c r="F12" s="1423"/>
    </row>
    <row r="13" spans="1:6" ht="126" hidden="1" customHeight="1">
      <c r="A13" s="1421" t="s">
        <v>2505</v>
      </c>
      <c r="B13" s="1424"/>
      <c r="C13" s="1425"/>
      <c r="D13" s="1420"/>
      <c r="E13" s="1422"/>
      <c r="F13" s="1423"/>
    </row>
    <row r="14" spans="1:6" ht="94.5">
      <c r="A14" s="1430" t="s">
        <v>2506</v>
      </c>
      <c r="B14" s="1431" t="s">
        <v>2519</v>
      </c>
      <c r="C14" s="1431" t="s">
        <v>135</v>
      </c>
      <c r="D14" s="1432">
        <v>225</v>
      </c>
      <c r="E14" s="1433">
        <f>'[9]ЦС ( 2018) '!F10</f>
        <v>305283</v>
      </c>
    </row>
    <row r="15" spans="1:6" ht="31.5">
      <c r="A15" s="1438" t="s">
        <v>2520</v>
      </c>
      <c r="B15" s="1442"/>
      <c r="C15" s="1442"/>
      <c r="D15" s="1443"/>
      <c r="E15" s="1441">
        <f>'[9]225ЦС'!D14</f>
        <v>305283</v>
      </c>
    </row>
    <row r="16" spans="1:6" ht="23.25" customHeight="1">
      <c r="A16" s="1421" t="s">
        <v>2507</v>
      </c>
      <c r="B16" s="1424"/>
      <c r="C16" s="1425"/>
      <c r="D16" s="1420"/>
      <c r="E16" s="1422"/>
    </row>
    <row r="17" spans="1:15" ht="135" customHeight="1">
      <c r="A17" s="1421" t="s">
        <v>2508</v>
      </c>
      <c r="B17" s="1420" t="s">
        <v>1296</v>
      </c>
      <c r="C17" s="1420" t="s">
        <v>1296</v>
      </c>
      <c r="D17" s="1420" t="s">
        <v>1296</v>
      </c>
      <c r="E17" s="1422">
        <f>E19+E20+E21</f>
        <v>393125</v>
      </c>
    </row>
    <row r="18" spans="1:15" ht="15.75">
      <c r="A18" s="1421" t="s">
        <v>185</v>
      </c>
      <c r="B18" s="1421"/>
      <c r="C18" s="1420"/>
      <c r="D18" s="1420"/>
      <c r="E18" s="1422"/>
    </row>
    <row r="19" spans="1:15" ht="86.25" customHeight="1">
      <c r="A19" s="1444" t="s">
        <v>2521</v>
      </c>
      <c r="B19" s="1996" t="s">
        <v>2516</v>
      </c>
      <c r="C19" s="1996" t="s">
        <v>774</v>
      </c>
      <c r="D19" s="1999">
        <v>226</v>
      </c>
      <c r="E19" s="1445">
        <f>'[9]226 ЦС'!D14</f>
        <v>157322.03</v>
      </c>
    </row>
    <row r="20" spans="1:15" ht="37.5" customHeight="1">
      <c r="A20" s="1446" t="s">
        <v>2522</v>
      </c>
      <c r="B20" s="1997"/>
      <c r="C20" s="1997"/>
      <c r="D20" s="2000"/>
      <c r="E20" s="1445">
        <f>'[9]226 ЦС'!D15</f>
        <v>158125</v>
      </c>
    </row>
    <row r="21" spans="1:15" ht="18.75" customHeight="1">
      <c r="A21" s="1447" t="s">
        <v>2523</v>
      </c>
      <c r="B21" s="1998"/>
      <c r="C21" s="1998"/>
      <c r="D21" s="1420">
        <v>310</v>
      </c>
      <c r="E21" s="1445">
        <f>'[9]ЦС ( 2018) '!F20</f>
        <v>77677.97</v>
      </c>
      <c r="G21" s="1448">
        <f>E10+E14+E17</f>
        <v>870780</v>
      </c>
    </row>
    <row r="22" spans="1:15" ht="33" hidden="1" customHeight="1">
      <c r="A22" s="1421"/>
      <c r="B22" s="1421"/>
      <c r="C22" s="1420"/>
      <c r="D22" s="1420"/>
      <c r="E22" s="1422"/>
    </row>
    <row r="23" spans="1:15" ht="157.5" hidden="1">
      <c r="A23" s="1421" t="s">
        <v>2510</v>
      </c>
      <c r="B23" s="1420" t="s">
        <v>1296</v>
      </c>
      <c r="C23" s="1420" t="s">
        <v>1296</v>
      </c>
      <c r="D23" s="1420" t="s">
        <v>1296</v>
      </c>
      <c r="E23" s="1422"/>
    </row>
    <row r="24" spans="1:15" ht="15.75" hidden="1">
      <c r="A24" s="1421" t="s">
        <v>185</v>
      </c>
      <c r="B24" s="1421"/>
      <c r="C24" s="1420"/>
      <c r="D24" s="1420"/>
      <c r="E24" s="1422"/>
    </row>
    <row r="25" spans="1:15" ht="30" hidden="1" customHeight="1">
      <c r="A25" s="1421" t="s">
        <v>2509</v>
      </c>
      <c r="B25" s="1421"/>
      <c r="C25" s="1420"/>
      <c r="D25" s="1420"/>
      <c r="E25" s="1422"/>
    </row>
    <row r="26" spans="1:15" ht="15.75" hidden="1">
      <c r="A26" s="1421"/>
      <c r="B26" s="1421"/>
      <c r="C26" s="1420"/>
      <c r="D26" s="1420"/>
      <c r="E26" s="1422"/>
    </row>
    <row r="27" spans="1:15" ht="15.75" hidden="1">
      <c r="A27" s="1421"/>
      <c r="B27" s="1421"/>
      <c r="C27" s="1420"/>
      <c r="D27" s="1420"/>
      <c r="E27" s="1422"/>
    </row>
    <row r="28" spans="1:15" ht="15.75" hidden="1">
      <c r="A28" s="1421"/>
      <c r="B28" s="1421"/>
      <c r="C28" s="1420"/>
      <c r="D28" s="1420"/>
      <c r="E28" s="1422"/>
    </row>
    <row r="31" spans="1:15" s="207" customFormat="1" ht="15.75">
      <c r="A31" s="1416" t="s">
        <v>1077</v>
      </c>
      <c r="B31" s="311"/>
      <c r="C31" s="507"/>
      <c r="D31" s="311"/>
      <c r="E31" s="507" t="s">
        <v>1040</v>
      </c>
      <c r="F31" s="311"/>
      <c r="G31" s="311"/>
      <c r="H31" s="311"/>
      <c r="J31" s="311"/>
      <c r="K31" s="311"/>
      <c r="L31" s="509"/>
      <c r="M31" s="509"/>
      <c r="N31" s="311"/>
      <c r="O31" s="311"/>
    </row>
    <row r="32" spans="1:15" s="207" customFormat="1" ht="31.5" customHeight="1">
      <c r="A32" s="221"/>
      <c r="B32" s="217"/>
      <c r="C32" s="523" t="s">
        <v>1078</v>
      </c>
      <c r="D32" s="217"/>
      <c r="E32" s="524" t="s">
        <v>1079</v>
      </c>
      <c r="F32" s="510"/>
      <c r="G32" s="511"/>
      <c r="H32" s="510"/>
      <c r="J32" s="510"/>
      <c r="K32" s="510"/>
      <c r="L32" s="509"/>
      <c r="M32" s="509"/>
      <c r="N32" s="510"/>
      <c r="O32" s="510"/>
    </row>
    <row r="33" spans="1:15" s="207" customFormat="1" ht="15.75">
      <c r="A33" s="1416" t="s">
        <v>1076</v>
      </c>
      <c r="B33" s="311"/>
      <c r="C33" s="507"/>
      <c r="D33" s="311"/>
      <c r="E33" s="507" t="s">
        <v>1245</v>
      </c>
      <c r="F33" s="311"/>
      <c r="G33" s="311"/>
      <c r="H33" s="311"/>
      <c r="J33" s="311"/>
      <c r="K33" s="311"/>
      <c r="L33" s="509"/>
      <c r="M33" s="509"/>
      <c r="N33" s="311"/>
      <c r="O33" s="311"/>
    </row>
    <row r="34" spans="1:15" s="4" customFormat="1" ht="29.25" customHeight="1">
      <c r="C34" s="521" t="s">
        <v>1078</v>
      </c>
      <c r="E34" s="525" t="s">
        <v>1079</v>
      </c>
      <c r="F34" s="25"/>
      <c r="K34" s="68"/>
      <c r="L34" s="68"/>
      <c r="M34" s="68"/>
      <c r="N34" s="68"/>
      <c r="O34" s="68"/>
    </row>
  </sheetData>
  <mergeCells count="6">
    <mergeCell ref="B19:B21"/>
    <mergeCell ref="C19:C21"/>
    <mergeCell ref="D19:D20"/>
    <mergeCell ref="A3:E3"/>
    <mergeCell ref="A5:E5"/>
    <mergeCell ref="A6:E6"/>
  </mergeCells>
  <phoneticPr fontId="116" type="noConversion"/>
  <pageMargins left="0.70866141732283472" right="0.70866141732283472" top="0.74803149606299213" bottom="0.74803149606299213" header="0.31496062992125984" footer="0.31496062992125984"/>
  <pageSetup paperSize="9" scale="65" orientation="portrait" r:id="rId1"/>
</worksheet>
</file>

<file path=xl/worksheets/sheet63.xml><?xml version="1.0" encoding="utf-8"?>
<worksheet xmlns="http://schemas.openxmlformats.org/spreadsheetml/2006/main" xmlns:r="http://schemas.openxmlformats.org/officeDocument/2006/relationships">
  <sheetPr codeName="Лист28">
    <tabColor rgb="FFFF0000"/>
    <pageSetUpPr fitToPage="1"/>
  </sheetPr>
  <dimension ref="A1:P25"/>
  <sheetViews>
    <sheetView view="pageBreakPreview" topLeftCell="A10" zoomScale="89" zoomScaleNormal="100" zoomScaleSheetLayoutView="89" workbookViewId="0">
      <selection activeCell="C23" sqref="C23"/>
    </sheetView>
  </sheetViews>
  <sheetFormatPr defaultRowHeight="15"/>
  <cols>
    <col min="1" max="1" width="5.42578125" style="1" customWidth="1"/>
    <col min="2" max="2" width="56.140625" style="1" customWidth="1"/>
    <col min="3" max="3" width="25.5703125" style="1" customWidth="1"/>
    <col min="4" max="4" width="22.42578125" style="1" customWidth="1"/>
    <col min="5" max="5" width="16.42578125" style="1" customWidth="1"/>
    <col min="6" max="6" width="16" style="1" customWidth="1"/>
    <col min="7" max="16384" width="9.140625" style="1"/>
  </cols>
  <sheetData>
    <row r="1" spans="1:7" ht="15.75">
      <c r="A1" s="234"/>
      <c r="B1" s="234"/>
      <c r="C1" s="234"/>
      <c r="D1" s="234"/>
      <c r="E1" s="234"/>
      <c r="F1" s="209" t="s">
        <v>1795</v>
      </c>
    </row>
    <row r="2" spans="1:7" ht="15.75">
      <c r="A2" s="234"/>
      <c r="B2" s="234"/>
      <c r="C2" s="234"/>
      <c r="D2" s="234"/>
      <c r="E2" s="234"/>
      <c r="F2" s="209"/>
    </row>
    <row r="3" spans="1:7" ht="15.75">
      <c r="A3" s="2001" t="s">
        <v>1386</v>
      </c>
      <c r="B3" s="2001"/>
      <c r="C3" s="2001"/>
      <c r="D3" s="2001"/>
      <c r="E3" s="2001"/>
      <c r="F3" s="2001"/>
      <c r="G3" s="9"/>
    </row>
    <row r="4" spans="1:7" ht="24.75" customHeight="1">
      <c r="A4" s="234"/>
      <c r="B4" s="234"/>
      <c r="C4" s="1341" t="s">
        <v>749</v>
      </c>
      <c r="D4" s="234"/>
      <c r="E4" s="234"/>
      <c r="F4" s="234"/>
    </row>
    <row r="5" spans="1:7" ht="31.5">
      <c r="A5" s="334" t="s">
        <v>1255</v>
      </c>
      <c r="B5" s="334" t="s">
        <v>1297</v>
      </c>
      <c r="C5" s="334" t="s">
        <v>1743</v>
      </c>
      <c r="D5" s="334" t="s">
        <v>188</v>
      </c>
      <c r="E5" s="334" t="s">
        <v>189</v>
      </c>
      <c r="F5" s="334" t="s">
        <v>90</v>
      </c>
    </row>
    <row r="6" spans="1:7" ht="15.75">
      <c r="A6" s="229">
        <v>1</v>
      </c>
      <c r="B6" s="229">
        <v>2</v>
      </c>
      <c r="C6" s="229">
        <v>3</v>
      </c>
      <c r="D6" s="229">
        <v>4</v>
      </c>
      <c r="E6" s="229">
        <v>5</v>
      </c>
      <c r="F6" s="229">
        <v>6</v>
      </c>
    </row>
    <row r="7" spans="1:7" ht="15.75">
      <c r="A7" s="229">
        <v>1</v>
      </c>
      <c r="B7" s="243" t="s">
        <v>1802</v>
      </c>
      <c r="C7" s="229" t="s">
        <v>1296</v>
      </c>
      <c r="D7" s="229" t="s">
        <v>1296</v>
      </c>
      <c r="E7" s="229" t="s">
        <v>1296</v>
      </c>
      <c r="F7" s="229"/>
    </row>
    <row r="8" spans="1:7" ht="15.75">
      <c r="A8" s="229">
        <v>2</v>
      </c>
      <c r="B8" s="243" t="s">
        <v>1806</v>
      </c>
      <c r="C8" s="229" t="s">
        <v>1296</v>
      </c>
      <c r="D8" s="229" t="s">
        <v>1296</v>
      </c>
      <c r="E8" s="229" t="s">
        <v>1296</v>
      </c>
      <c r="F8" s="229"/>
    </row>
    <row r="9" spans="1:7" ht="31.5">
      <c r="A9" s="230">
        <v>3</v>
      </c>
      <c r="B9" s="243" t="s">
        <v>38</v>
      </c>
      <c r="C9" s="1383" t="s">
        <v>1372</v>
      </c>
      <c r="D9" s="1383" t="s">
        <v>1212</v>
      </c>
      <c r="E9" s="547">
        <v>310</v>
      </c>
      <c r="F9" s="431">
        <f ca="1">'310 учеб.'!Q26+'310'!I15</f>
        <v>172372</v>
      </c>
      <c r="G9" s="38"/>
    </row>
    <row r="10" spans="1:7" ht="94.5">
      <c r="A10" s="230">
        <v>4</v>
      </c>
      <c r="B10" s="243" t="s">
        <v>770</v>
      </c>
      <c r="C10" s="1383" t="s">
        <v>1230</v>
      </c>
      <c r="D10" s="1383" t="s">
        <v>135</v>
      </c>
      <c r="E10" s="1426" t="s">
        <v>1223</v>
      </c>
      <c r="F10" s="430">
        <f ca="1">'225ЦС'!D15</f>
        <v>305283</v>
      </c>
    </row>
    <row r="11" spans="1:7" ht="110.25">
      <c r="A11" s="230">
        <v>5</v>
      </c>
      <c r="B11" s="243" t="s">
        <v>36</v>
      </c>
      <c r="C11" s="229" t="s">
        <v>1296</v>
      </c>
      <c r="D11" s="229" t="s">
        <v>1296</v>
      </c>
      <c r="E11" s="229" t="s">
        <v>1296</v>
      </c>
      <c r="F11" s="232">
        <f>F19+F20</f>
        <v>393125</v>
      </c>
    </row>
    <row r="12" spans="1:7" ht="15.75">
      <c r="A12" s="245"/>
      <c r="B12" s="243" t="s">
        <v>185</v>
      </c>
      <c r="C12" s="243"/>
      <c r="D12" s="229"/>
      <c r="E12" s="229"/>
      <c r="F12" s="232"/>
    </row>
    <row r="13" spans="1:7" ht="131.25" hidden="1" customHeight="1">
      <c r="A13" s="245" t="s">
        <v>1811</v>
      </c>
      <c r="B13" s="243" t="s">
        <v>39</v>
      </c>
      <c r="C13" s="243"/>
      <c r="D13" s="229"/>
      <c r="E13" s="229"/>
      <c r="F13" s="232"/>
    </row>
    <row r="14" spans="1:7" ht="126" hidden="1">
      <c r="A14" s="245" t="s">
        <v>1812</v>
      </c>
      <c r="B14" s="243" t="s">
        <v>40</v>
      </c>
      <c r="C14" s="243"/>
      <c r="D14" s="229"/>
      <c r="E14" s="229"/>
      <c r="F14" s="232"/>
    </row>
    <row r="15" spans="1:7" ht="78.75" hidden="1">
      <c r="A15" s="245" t="s">
        <v>1813</v>
      </c>
      <c r="B15" s="243" t="s">
        <v>41</v>
      </c>
      <c r="C15" s="243"/>
      <c r="D15" s="229"/>
      <c r="E15" s="229"/>
      <c r="F15" s="232"/>
    </row>
    <row r="16" spans="1:7" ht="107.25" hidden="1" customHeight="1">
      <c r="A16" s="245" t="s">
        <v>1814</v>
      </c>
      <c r="B16" s="243" t="s">
        <v>1907</v>
      </c>
      <c r="C16" s="243"/>
      <c r="D16" s="229"/>
      <c r="E16" s="229"/>
      <c r="F16" s="232"/>
    </row>
    <row r="17" spans="1:16" ht="63" hidden="1">
      <c r="A17" s="245" t="s">
        <v>1815</v>
      </c>
      <c r="B17" s="243" t="s">
        <v>1908</v>
      </c>
      <c r="C17" s="243"/>
      <c r="D17" s="229"/>
      <c r="E17" s="229"/>
      <c r="F17" s="232"/>
    </row>
    <row r="18" spans="1:16" ht="15.75" hidden="1">
      <c r="A18" s="245" t="s">
        <v>1816</v>
      </c>
      <c r="B18" s="243" t="s">
        <v>1909</v>
      </c>
      <c r="C18" s="243"/>
      <c r="D18" s="229"/>
      <c r="E18" s="229"/>
      <c r="F18" s="232"/>
    </row>
    <row r="19" spans="1:16" ht="34.5" customHeight="1">
      <c r="A19" s="2004">
        <v>6</v>
      </c>
      <c r="B19" s="2002" t="s">
        <v>2064</v>
      </c>
      <c r="C19" s="547">
        <v>244</v>
      </c>
      <c r="D19" s="1426" t="s">
        <v>774</v>
      </c>
      <c r="E19" s="547">
        <v>226</v>
      </c>
      <c r="F19" s="431">
        <f ca="1">'226 ЦС'!D16</f>
        <v>315447.03000000003</v>
      </c>
    </row>
    <row r="20" spans="1:16" ht="66.75" customHeight="1">
      <c r="A20" s="2005"/>
      <c r="B20" s="2003"/>
      <c r="C20" s="547">
        <v>244</v>
      </c>
      <c r="D20" s="1426" t="s">
        <v>774</v>
      </c>
      <c r="E20" s="547">
        <v>310</v>
      </c>
      <c r="F20" s="431">
        <f ca="1">'310'!I21</f>
        <v>77677.97</v>
      </c>
    </row>
    <row r="22" spans="1:16" s="207" customFormat="1" ht="15.75">
      <c r="B22" s="234" t="s">
        <v>1077</v>
      </c>
      <c r="C22" s="311"/>
      <c r="D22" s="507"/>
      <c r="E22" s="311"/>
      <c r="F22" s="507" t="s">
        <v>1040</v>
      </c>
      <c r="G22" s="311"/>
      <c r="H22" s="311"/>
      <c r="I22" s="311"/>
      <c r="K22" s="311"/>
      <c r="L22" s="311"/>
      <c r="M22" s="509"/>
      <c r="N22" s="509"/>
      <c r="O22" s="311"/>
      <c r="P22" s="311"/>
    </row>
    <row r="23" spans="1:16" s="207" customFormat="1" ht="31.5" customHeight="1">
      <c r="B23" s="221"/>
      <c r="C23" s="217"/>
      <c r="D23" s="523" t="s">
        <v>1078</v>
      </c>
      <c r="E23" s="217"/>
      <c r="F23" s="524" t="s">
        <v>1079</v>
      </c>
      <c r="G23" s="510"/>
      <c r="H23" s="511"/>
      <c r="I23" s="510"/>
      <c r="K23" s="510"/>
      <c r="L23" s="510"/>
      <c r="M23" s="509"/>
      <c r="N23" s="509"/>
      <c r="O23" s="510"/>
      <c r="P23" s="510"/>
    </row>
    <row r="24" spans="1:16" s="207" customFormat="1" ht="36" customHeight="1">
      <c r="B24" s="234" t="s">
        <v>1076</v>
      </c>
      <c r="C24" s="311"/>
      <c r="D24" s="507"/>
      <c r="E24" s="311"/>
      <c r="F24" s="507" t="s">
        <v>1245</v>
      </c>
      <c r="G24" s="311"/>
      <c r="H24" s="311"/>
      <c r="I24" s="311"/>
      <c r="K24" s="311"/>
      <c r="L24" s="311"/>
      <c r="M24" s="509"/>
      <c r="N24" s="509"/>
      <c r="O24" s="311"/>
      <c r="P24" s="311"/>
    </row>
    <row r="25" spans="1:16" s="4" customFormat="1" ht="29.25" customHeight="1">
      <c r="A25" s="25"/>
      <c r="D25" s="521" t="s">
        <v>1078</v>
      </c>
      <c r="F25" s="525" t="s">
        <v>1079</v>
      </c>
      <c r="G25" s="25"/>
      <c r="L25" s="68"/>
      <c r="M25" s="68"/>
      <c r="N25" s="68"/>
      <c r="O25" s="68"/>
      <c r="P25" s="68"/>
    </row>
  </sheetData>
  <customSheetViews>
    <customSheetView guid="{CA0FB9E2-E541-4C74-BCFE-D75491869B36}" scale="60" showPageBreaks="1" fitToPage="1" view="pageBreakPreview" topLeftCell="A13">
      <selection activeCell="N16" sqref="N16"/>
      <pageMargins left="0.70866141732283472" right="0.70866141732283472" top="0.74803149606299213" bottom="0.74803149606299213" header="0.31496062992125984" footer="0.31496062992125984"/>
      <pageSetup paperSize="9" scale="60" orientation="portrait" r:id="rId1"/>
    </customSheetView>
    <customSheetView guid="{F10E3D8B-5892-420A-B023-68C6496D556B}" fitToPage="1">
      <selection activeCell="B16" sqref="B16"/>
      <pageMargins left="0.70866141732283472" right="0.70866141732283472" top="0.74803149606299213" bottom="0.74803149606299213" header="0.31496062992125984" footer="0.31496062992125984"/>
      <pageSetup paperSize="9" scale="61" orientation="portrait" r:id="rId2"/>
    </customSheetView>
    <customSheetView guid="{FE7E58EF-FECC-4DF6-BB75-BA97138CB219}" fitToPage="1">
      <selection activeCell="B16" sqref="B16"/>
      <pageMargins left="0.70866141732283472" right="0.70866141732283472" top="0.74803149606299213" bottom="0.74803149606299213" header="0.31496062992125984" footer="0.31496062992125984"/>
      <pageSetup paperSize="9" scale="65" orientation="portrait" r:id="rId3"/>
    </customSheetView>
    <customSheetView guid="{43136B00-66C6-4289-99D3-5EF20611F834}" showPageBreaks="1" fitToPage="1" topLeftCell="A13">
      <selection activeCell="A21" sqref="A21:IV24"/>
      <pageMargins left="0.70866141732283472" right="0.70866141732283472" top="0.74803149606299213" bottom="0.74803149606299213" header="0.31496062992125984" footer="0.31496062992125984"/>
      <pageSetup paperSize="9" scale="60" orientation="portrait" r:id="rId4"/>
    </customSheetView>
    <customSheetView guid="{22820B9F-10DE-4629-AF3D-4AF98A9BCEDB}" scale="60" showPageBreaks="1" fitToPage="1" view="pageBreakPreview" topLeftCell="A16">
      <selection activeCell="F53" sqref="F53"/>
      <pageMargins left="0.70866141732283472" right="0.70866141732283472" top="0.74803149606299213" bottom="0.74803149606299213" header="0.31496062992125984" footer="0.31496062992125984"/>
      <pageSetup paperSize="9" scale="60" orientation="portrait" r:id="rId5"/>
    </customSheetView>
  </customSheetViews>
  <mergeCells count="3">
    <mergeCell ref="A3:F3"/>
    <mergeCell ref="B19:B20"/>
    <mergeCell ref="A19:A20"/>
  </mergeCells>
  <phoneticPr fontId="116" type="noConversion"/>
  <pageMargins left="0.70866141732283472" right="0.70866141732283472" top="0.74803149606299213" bottom="0.74803149606299213" header="0.31496062992125984" footer="0.31496062992125984"/>
  <pageSetup paperSize="9" scale="61" orientation="portrait" r:id="rId6"/>
</worksheet>
</file>

<file path=xl/worksheets/sheet64.xml><?xml version="1.0" encoding="utf-8"?>
<worksheet xmlns="http://schemas.openxmlformats.org/spreadsheetml/2006/main" xmlns:r="http://schemas.openxmlformats.org/officeDocument/2006/relationships">
  <sheetPr>
    <tabColor rgb="FF92D050"/>
    <pageSetUpPr fitToPage="1"/>
  </sheetPr>
  <dimension ref="A1:O31"/>
  <sheetViews>
    <sheetView topLeftCell="A4" zoomScale="83" zoomScaleNormal="83" workbookViewId="0">
      <selection activeCell="D29" sqref="D29"/>
    </sheetView>
  </sheetViews>
  <sheetFormatPr defaultRowHeight="15"/>
  <cols>
    <col min="1" max="1" width="56.140625" style="1418" customWidth="1"/>
    <col min="2" max="2" width="23.140625" style="1418" customWidth="1"/>
    <col min="3" max="3" width="20.85546875" style="1418" customWidth="1"/>
    <col min="4" max="4" width="16.42578125" style="1418" customWidth="1"/>
    <col min="5" max="5" width="16" style="1418" customWidth="1"/>
    <col min="6" max="16384" width="9.140625" style="1418"/>
  </cols>
  <sheetData>
    <row r="1" spans="1:6" ht="15.75">
      <c r="A1" s="1416"/>
      <c r="B1" s="1416"/>
      <c r="C1" s="1416"/>
      <c r="D1" s="1416"/>
      <c r="E1" s="1417"/>
    </row>
    <row r="2" spans="1:6" ht="15.75">
      <c r="A2" s="1416"/>
      <c r="B2" s="1416"/>
      <c r="C2" s="1416"/>
      <c r="D2" s="1416"/>
      <c r="E2" s="1417"/>
    </row>
    <row r="3" spans="1:6" ht="15.75">
      <c r="A3" s="2001" t="s">
        <v>137</v>
      </c>
      <c r="B3" s="2001"/>
      <c r="C3" s="2001"/>
      <c r="D3" s="2001"/>
      <c r="E3" s="2001"/>
      <c r="F3" s="9"/>
    </row>
    <row r="4" spans="1:6" ht="15.75">
      <c r="A4" s="1427"/>
      <c r="B4" s="1427"/>
      <c r="C4" s="1427"/>
      <c r="D4" s="1427"/>
      <c r="E4" s="1427"/>
      <c r="F4" s="9"/>
    </row>
    <row r="5" spans="1:6" ht="15.75">
      <c r="A5" s="2001" t="s">
        <v>136</v>
      </c>
      <c r="B5" s="2001"/>
      <c r="C5" s="2001"/>
      <c r="D5" s="2001"/>
      <c r="E5" s="2001"/>
      <c r="F5" s="9"/>
    </row>
    <row r="6" spans="1:6" ht="15.75">
      <c r="A6" s="2001" t="s">
        <v>2513</v>
      </c>
      <c r="B6" s="2001"/>
      <c r="C6" s="2001"/>
      <c r="D6" s="2001"/>
      <c r="E6" s="2001"/>
      <c r="F6" s="9"/>
    </row>
    <row r="7" spans="1:6" ht="15.75">
      <c r="A7" s="1416"/>
      <c r="B7" s="1416"/>
      <c r="C7" s="1416"/>
      <c r="D7" s="1416"/>
      <c r="E7" s="1416"/>
    </row>
    <row r="8" spans="1:6" ht="47.25">
      <c r="A8" s="1419" t="s">
        <v>1297</v>
      </c>
      <c r="B8" s="1419" t="s">
        <v>1743</v>
      </c>
      <c r="C8" s="1419" t="s">
        <v>188</v>
      </c>
      <c r="D8" s="1419" t="s">
        <v>189</v>
      </c>
      <c r="E8" s="1419" t="s">
        <v>90</v>
      </c>
    </row>
    <row r="9" spans="1:6" ht="15.75">
      <c r="A9" s="1420">
        <v>2</v>
      </c>
      <c r="B9" s="1420">
        <v>3</v>
      </c>
      <c r="C9" s="1420">
        <v>4</v>
      </c>
      <c r="D9" s="1420">
        <v>5</v>
      </c>
      <c r="E9" s="1420">
        <v>6</v>
      </c>
    </row>
    <row r="10" spans="1:6" ht="63">
      <c r="A10" s="1430" t="s">
        <v>2504</v>
      </c>
      <c r="B10" s="1431" t="s">
        <v>2516</v>
      </c>
      <c r="C10" s="1431" t="s">
        <v>1212</v>
      </c>
      <c r="D10" s="1432">
        <v>310</v>
      </c>
      <c r="E10" s="1433">
        <f>E11</f>
        <v>85000</v>
      </c>
      <c r="F10" s="1423"/>
    </row>
    <row r="11" spans="1:6" ht="18.75" customHeight="1">
      <c r="A11" s="1438" t="s">
        <v>2518</v>
      </c>
      <c r="B11" s="1449"/>
      <c r="C11" s="1449"/>
      <c r="D11" s="1450"/>
      <c r="E11" s="1451">
        <f>'[10]ЦС ( 2019-20)'!F9</f>
        <v>85000</v>
      </c>
      <c r="F11" s="1423"/>
    </row>
    <row r="12" spans="1:6" ht="94.5" hidden="1" customHeight="1">
      <c r="A12" s="1421" t="s">
        <v>2505</v>
      </c>
      <c r="B12" s="1424"/>
      <c r="C12" s="1425"/>
      <c r="D12" s="1420"/>
      <c r="E12" s="1422"/>
      <c r="F12" s="1423"/>
    </row>
    <row r="13" spans="1:6" ht="126" hidden="1" customHeight="1">
      <c r="A13" s="1421" t="s">
        <v>2506</v>
      </c>
      <c r="B13" s="1425" t="s">
        <v>1230</v>
      </c>
      <c r="C13" s="1425" t="s">
        <v>135</v>
      </c>
      <c r="D13" s="1420">
        <v>225</v>
      </c>
      <c r="E13" s="1422"/>
    </row>
    <row r="14" spans="1:6" ht="126" hidden="1" customHeight="1">
      <c r="A14" s="1421" t="s">
        <v>2507</v>
      </c>
      <c r="B14" s="1424"/>
      <c r="C14" s="1425"/>
      <c r="D14" s="1420"/>
      <c r="E14" s="1422"/>
    </row>
    <row r="15" spans="1:6" ht="15.75" hidden="1" customHeight="1">
      <c r="A15" s="1421" t="s">
        <v>2508</v>
      </c>
      <c r="B15" s="1420" t="s">
        <v>1296</v>
      </c>
      <c r="C15" s="1420" t="s">
        <v>1296</v>
      </c>
      <c r="D15" s="1420" t="s">
        <v>1296</v>
      </c>
      <c r="E15" s="1422"/>
    </row>
    <row r="16" spans="1:6" ht="23.25" hidden="1" customHeight="1">
      <c r="A16" s="1421" t="s">
        <v>185</v>
      </c>
      <c r="B16" s="1421"/>
      <c r="C16" s="1420"/>
      <c r="D16" s="1420"/>
      <c r="E16" s="1422"/>
    </row>
    <row r="17" spans="1:15" ht="23.25" hidden="1" customHeight="1">
      <c r="A17" s="2006" t="s">
        <v>2512</v>
      </c>
      <c r="B17" s="1996">
        <v>244</v>
      </c>
      <c r="C17" s="1996" t="s">
        <v>774</v>
      </c>
      <c r="D17" s="1420">
        <v>226</v>
      </c>
      <c r="E17" s="1422"/>
    </row>
    <row r="18" spans="1:15" ht="73.5" hidden="1" customHeight="1">
      <c r="A18" s="2007"/>
      <c r="B18" s="1998"/>
      <c r="C18" s="1998"/>
      <c r="D18" s="1420">
        <v>310</v>
      </c>
      <c r="E18" s="1422"/>
    </row>
    <row r="19" spans="1:15" ht="33" hidden="1" customHeight="1">
      <c r="A19" s="1421"/>
      <c r="B19" s="1421"/>
      <c r="C19" s="1420"/>
      <c r="D19" s="1420"/>
      <c r="E19" s="1422"/>
    </row>
    <row r="20" spans="1:15" ht="157.5" hidden="1">
      <c r="A20" s="1421" t="s">
        <v>2510</v>
      </c>
      <c r="B20" s="1420" t="s">
        <v>1296</v>
      </c>
      <c r="C20" s="1420" t="s">
        <v>1296</v>
      </c>
      <c r="D20" s="1420" t="s">
        <v>1296</v>
      </c>
      <c r="E20" s="1422"/>
    </row>
    <row r="21" spans="1:15" ht="15.75" hidden="1">
      <c r="A21" s="1421" t="s">
        <v>185</v>
      </c>
      <c r="B21" s="1421"/>
      <c r="C21" s="1420"/>
      <c r="D21" s="1420"/>
      <c r="E21" s="1422"/>
    </row>
    <row r="22" spans="1:15" ht="30" hidden="1" customHeight="1">
      <c r="A22" s="1421" t="s">
        <v>2509</v>
      </c>
      <c r="B22" s="1421"/>
      <c r="C22" s="1420"/>
      <c r="D22" s="1420"/>
      <c r="E22" s="1422"/>
    </row>
    <row r="23" spans="1:15" ht="15.75" hidden="1">
      <c r="A23" s="1421"/>
      <c r="B23" s="1421"/>
      <c r="C23" s="1420"/>
      <c r="D23" s="1420"/>
      <c r="E23" s="1422"/>
    </row>
    <row r="24" spans="1:15" ht="15.75" hidden="1">
      <c r="A24" s="1421"/>
      <c r="B24" s="1421"/>
      <c r="C24" s="1420"/>
      <c r="D24" s="1420"/>
      <c r="E24" s="1422"/>
    </row>
    <row r="25" spans="1:15" ht="15.75" hidden="1">
      <c r="A25" s="1421"/>
      <c r="B25" s="1421"/>
      <c r="C25" s="1420"/>
      <c r="D25" s="1420"/>
      <c r="E25" s="1422"/>
    </row>
    <row r="28" spans="1:15" s="207" customFormat="1" ht="15.75">
      <c r="A28" s="1416" t="s">
        <v>1077</v>
      </c>
      <c r="B28" s="311"/>
      <c r="C28" s="507"/>
      <c r="D28" s="311"/>
      <c r="E28" s="507" t="s">
        <v>1040</v>
      </c>
      <c r="F28" s="311"/>
      <c r="G28" s="311"/>
      <c r="H28" s="311"/>
      <c r="J28" s="311"/>
      <c r="K28" s="311"/>
      <c r="L28" s="509"/>
      <c r="M28" s="509"/>
      <c r="N28" s="311"/>
      <c r="O28" s="311"/>
    </row>
    <row r="29" spans="1:15" s="207" customFormat="1" ht="31.5" customHeight="1">
      <c r="A29" s="221"/>
      <c r="B29" s="217"/>
      <c r="C29" s="523" t="s">
        <v>1078</v>
      </c>
      <c r="D29" s="217"/>
      <c r="E29" s="524" t="s">
        <v>1079</v>
      </c>
      <c r="F29" s="510"/>
      <c r="G29" s="511"/>
      <c r="H29" s="510"/>
      <c r="J29" s="510"/>
      <c r="K29" s="510"/>
      <c r="L29" s="509"/>
      <c r="M29" s="509"/>
      <c r="N29" s="510"/>
      <c r="O29" s="510"/>
    </row>
    <row r="30" spans="1:15" s="207" customFormat="1" ht="15.75">
      <c r="A30" s="1416" t="s">
        <v>1076</v>
      </c>
      <c r="B30" s="311"/>
      <c r="C30" s="507"/>
      <c r="D30" s="311"/>
      <c r="E30" s="507" t="s">
        <v>1245</v>
      </c>
      <c r="F30" s="311"/>
      <c r="G30" s="311"/>
      <c r="H30" s="311"/>
      <c r="J30" s="311"/>
      <c r="K30" s="311"/>
      <c r="L30" s="509"/>
      <c r="M30" s="509"/>
      <c r="N30" s="311"/>
      <c r="O30" s="311"/>
    </row>
    <row r="31" spans="1:15" s="4" customFormat="1" ht="29.25" customHeight="1">
      <c r="C31" s="521" t="s">
        <v>1078</v>
      </c>
      <c r="E31" s="525" t="s">
        <v>1079</v>
      </c>
      <c r="F31" s="25"/>
      <c r="K31" s="68"/>
      <c r="L31" s="68"/>
      <c r="M31" s="68"/>
      <c r="N31" s="68"/>
      <c r="O31" s="68"/>
    </row>
  </sheetData>
  <mergeCells count="6">
    <mergeCell ref="A3:E3"/>
    <mergeCell ref="A5:E5"/>
    <mergeCell ref="A6:E6"/>
    <mergeCell ref="A17:A18"/>
    <mergeCell ref="B17:B18"/>
    <mergeCell ref="C17:C18"/>
  </mergeCells>
  <phoneticPr fontId="116" type="noConversion"/>
  <pageMargins left="0.70866141732283472" right="0.70866141732283472" top="0.74803149606299213" bottom="0.74803149606299213" header="0.31496062992125984" footer="0.31496062992125984"/>
  <pageSetup paperSize="9" scale="65" orientation="portrait" r:id="rId1"/>
</worksheet>
</file>

<file path=xl/worksheets/sheet65.xml><?xml version="1.0" encoding="utf-8"?>
<worksheet xmlns="http://schemas.openxmlformats.org/spreadsheetml/2006/main" xmlns:r="http://schemas.openxmlformats.org/officeDocument/2006/relationships">
  <sheetPr>
    <tabColor rgb="FF92D050"/>
    <pageSetUpPr fitToPage="1"/>
  </sheetPr>
  <dimension ref="A1:O31"/>
  <sheetViews>
    <sheetView zoomScale="83" zoomScaleNormal="83" workbookViewId="0">
      <selection activeCell="A29" sqref="A29"/>
    </sheetView>
  </sheetViews>
  <sheetFormatPr defaultRowHeight="15"/>
  <cols>
    <col min="1" max="1" width="56.140625" style="1418" customWidth="1"/>
    <col min="2" max="2" width="23.140625" style="1418" customWidth="1"/>
    <col min="3" max="3" width="20.85546875" style="1418" customWidth="1"/>
    <col min="4" max="4" width="16.42578125" style="1418" customWidth="1"/>
    <col min="5" max="5" width="16" style="1418" customWidth="1"/>
    <col min="6" max="16384" width="9.140625" style="1418"/>
  </cols>
  <sheetData>
    <row r="1" spans="1:6" ht="15.75">
      <c r="A1" s="1416"/>
      <c r="B1" s="1416"/>
      <c r="C1" s="1416"/>
      <c r="D1" s="1416"/>
      <c r="E1" s="1417"/>
    </row>
    <row r="2" spans="1:6" ht="15.75">
      <c r="A2" s="1416"/>
      <c r="B2" s="1416"/>
      <c r="C2" s="1416"/>
      <c r="D2" s="1416"/>
      <c r="E2" s="1417"/>
    </row>
    <row r="3" spans="1:6" ht="15.75">
      <c r="A3" s="2001" t="s">
        <v>137</v>
      </c>
      <c r="B3" s="2001"/>
      <c r="C3" s="2001"/>
      <c r="D3" s="2001"/>
      <c r="E3" s="2001"/>
      <c r="F3" s="9"/>
    </row>
    <row r="4" spans="1:6" ht="15.75">
      <c r="A4" s="1427"/>
      <c r="B4" s="1427"/>
      <c r="C4" s="1427"/>
      <c r="D4" s="1427"/>
      <c r="E4" s="1427"/>
      <c r="F4" s="9"/>
    </row>
    <row r="5" spans="1:6" ht="15.75">
      <c r="A5" s="2001" t="s">
        <v>136</v>
      </c>
      <c r="B5" s="2001"/>
      <c r="C5" s="2001"/>
      <c r="D5" s="2001"/>
      <c r="E5" s="2001"/>
      <c r="F5" s="9"/>
    </row>
    <row r="6" spans="1:6" ht="15.75">
      <c r="A6" s="2001" t="s">
        <v>2514</v>
      </c>
      <c r="B6" s="2001"/>
      <c r="C6" s="2001"/>
      <c r="D6" s="2001"/>
      <c r="E6" s="2001"/>
      <c r="F6" s="9"/>
    </row>
    <row r="7" spans="1:6" ht="15.75">
      <c r="A7" s="1416"/>
      <c r="B7" s="1416"/>
      <c r="C7" s="1416"/>
      <c r="D7" s="1416"/>
      <c r="E7" s="1416"/>
    </row>
    <row r="8" spans="1:6" ht="47.25">
      <c r="A8" s="1419" t="s">
        <v>1297</v>
      </c>
      <c r="B8" s="1419" t="s">
        <v>1743</v>
      </c>
      <c r="C8" s="1419" t="s">
        <v>188</v>
      </c>
      <c r="D8" s="1419" t="s">
        <v>189</v>
      </c>
      <c r="E8" s="1419" t="s">
        <v>90</v>
      </c>
    </row>
    <row r="9" spans="1:6" ht="15.75">
      <c r="A9" s="1420">
        <v>2</v>
      </c>
      <c r="B9" s="1420">
        <v>3</v>
      </c>
      <c r="C9" s="1420">
        <v>4</v>
      </c>
      <c r="D9" s="1420">
        <v>5</v>
      </c>
      <c r="E9" s="1420">
        <v>6</v>
      </c>
    </row>
    <row r="10" spans="1:6" ht="63">
      <c r="A10" s="1430" t="s">
        <v>2504</v>
      </c>
      <c r="B10" s="1431" t="s">
        <v>2516</v>
      </c>
      <c r="C10" s="1431" t="s">
        <v>1212</v>
      </c>
      <c r="D10" s="1432">
        <v>310</v>
      </c>
      <c r="E10" s="1433">
        <f>E11</f>
        <v>85000</v>
      </c>
      <c r="F10" s="1423"/>
    </row>
    <row r="11" spans="1:6" ht="22.5" customHeight="1">
      <c r="A11" s="1438" t="s">
        <v>2518</v>
      </c>
      <c r="B11" s="1449"/>
      <c r="C11" s="1449"/>
      <c r="D11" s="1450"/>
      <c r="E11" s="1451">
        <f>'[10]ЦС ( 2019-20)'!F9</f>
        <v>85000</v>
      </c>
      <c r="F11" s="1423"/>
    </row>
    <row r="12" spans="1:6" ht="94.5" hidden="1" customHeight="1">
      <c r="A12" s="1421" t="s">
        <v>2505</v>
      </c>
      <c r="B12" s="1424"/>
      <c r="C12" s="1425"/>
      <c r="D12" s="1420"/>
      <c r="E12" s="1422"/>
      <c r="F12" s="1423"/>
    </row>
    <row r="13" spans="1:6" ht="126" hidden="1" customHeight="1">
      <c r="A13" s="1421" t="s">
        <v>2506</v>
      </c>
      <c r="B13" s="1425" t="s">
        <v>1230</v>
      </c>
      <c r="C13" s="1425" t="s">
        <v>135</v>
      </c>
      <c r="D13" s="1420">
        <v>225</v>
      </c>
      <c r="E13" s="1422"/>
    </row>
    <row r="14" spans="1:6" ht="126" hidden="1" customHeight="1">
      <c r="A14" s="1421" t="s">
        <v>2507</v>
      </c>
      <c r="B14" s="1424"/>
      <c r="C14" s="1425"/>
      <c r="D14" s="1420"/>
      <c r="E14" s="1422"/>
    </row>
    <row r="15" spans="1:6" ht="15.75" hidden="1" customHeight="1">
      <c r="A15" s="1421" t="s">
        <v>2508</v>
      </c>
      <c r="B15" s="1420" t="s">
        <v>1296</v>
      </c>
      <c r="C15" s="1420" t="s">
        <v>1296</v>
      </c>
      <c r="D15" s="1420" t="s">
        <v>1296</v>
      </c>
      <c r="E15" s="1422"/>
    </row>
    <row r="16" spans="1:6" ht="23.25" hidden="1" customHeight="1">
      <c r="A16" s="1421" t="s">
        <v>185</v>
      </c>
      <c r="B16" s="1421"/>
      <c r="C16" s="1420"/>
      <c r="D16" s="1420"/>
      <c r="E16" s="1422"/>
    </row>
    <row r="17" spans="1:15" ht="23.25" hidden="1" customHeight="1">
      <c r="A17" s="2006" t="s">
        <v>2512</v>
      </c>
      <c r="B17" s="1996">
        <v>244</v>
      </c>
      <c r="C17" s="1996" t="s">
        <v>774</v>
      </c>
      <c r="D17" s="1420">
        <v>226</v>
      </c>
      <c r="E17" s="1422"/>
    </row>
    <row r="18" spans="1:15" ht="73.5" hidden="1" customHeight="1">
      <c r="A18" s="2007"/>
      <c r="B18" s="1998"/>
      <c r="C18" s="1998"/>
      <c r="D18" s="1420">
        <v>310</v>
      </c>
      <c r="E18" s="1422"/>
    </row>
    <row r="19" spans="1:15" ht="33" hidden="1" customHeight="1">
      <c r="A19" s="1421"/>
      <c r="B19" s="1421"/>
      <c r="C19" s="1420"/>
      <c r="D19" s="1420"/>
      <c r="E19" s="1422"/>
    </row>
    <row r="20" spans="1:15" ht="157.5" hidden="1">
      <c r="A20" s="1421" t="s">
        <v>2510</v>
      </c>
      <c r="B20" s="1420" t="s">
        <v>1296</v>
      </c>
      <c r="C20" s="1420" t="s">
        <v>1296</v>
      </c>
      <c r="D20" s="1420" t="s">
        <v>1296</v>
      </c>
      <c r="E20" s="1422"/>
    </row>
    <row r="21" spans="1:15" ht="15.75" hidden="1">
      <c r="A21" s="1421" t="s">
        <v>185</v>
      </c>
      <c r="B21" s="1421"/>
      <c r="C21" s="1420"/>
      <c r="D21" s="1420"/>
      <c r="E21" s="1422"/>
    </row>
    <row r="22" spans="1:15" ht="30" hidden="1" customHeight="1">
      <c r="A22" s="1421" t="s">
        <v>2509</v>
      </c>
      <c r="B22" s="1421"/>
      <c r="C22" s="1420"/>
      <c r="D22" s="1420"/>
      <c r="E22" s="1422"/>
    </row>
    <row r="23" spans="1:15" ht="15.75" hidden="1">
      <c r="A23" s="1421"/>
      <c r="B23" s="1421"/>
      <c r="C23" s="1420"/>
      <c r="D23" s="1420"/>
      <c r="E23" s="1422"/>
    </row>
    <row r="24" spans="1:15" ht="15.75" hidden="1">
      <c r="A24" s="1421"/>
      <c r="B24" s="1421"/>
      <c r="C24" s="1420"/>
      <c r="D24" s="1420"/>
      <c r="E24" s="1422"/>
    </row>
    <row r="25" spans="1:15" ht="15.75" hidden="1">
      <c r="A25" s="1421"/>
      <c r="B25" s="1421"/>
      <c r="C25" s="1420"/>
      <c r="D25" s="1420"/>
      <c r="E25" s="1422"/>
    </row>
    <row r="28" spans="1:15" s="207" customFormat="1" ht="15.75">
      <c r="A28" s="1416" t="s">
        <v>1077</v>
      </c>
      <c r="B28" s="311"/>
      <c r="C28" s="507"/>
      <c r="D28" s="311"/>
      <c r="E28" s="507" t="s">
        <v>1040</v>
      </c>
      <c r="F28" s="311"/>
      <c r="G28" s="311"/>
      <c r="H28" s="311"/>
      <c r="J28" s="311"/>
      <c r="K28" s="311"/>
      <c r="L28" s="509"/>
      <c r="M28" s="509"/>
      <c r="N28" s="311"/>
      <c r="O28" s="311"/>
    </row>
    <row r="29" spans="1:15" s="207" customFormat="1" ht="31.5" customHeight="1">
      <c r="A29" s="221"/>
      <c r="B29" s="217"/>
      <c r="C29" s="523" t="s">
        <v>1078</v>
      </c>
      <c r="D29" s="217"/>
      <c r="E29" s="524" t="s">
        <v>1079</v>
      </c>
      <c r="F29" s="510"/>
      <c r="G29" s="511"/>
      <c r="H29" s="510"/>
      <c r="J29" s="510"/>
      <c r="K29" s="510"/>
      <c r="L29" s="509"/>
      <c r="M29" s="509"/>
      <c r="N29" s="510"/>
      <c r="O29" s="510"/>
    </row>
    <row r="30" spans="1:15" s="207" customFormat="1" ht="15.75">
      <c r="A30" s="1416" t="s">
        <v>1076</v>
      </c>
      <c r="B30" s="311"/>
      <c r="C30" s="507"/>
      <c r="D30" s="311"/>
      <c r="E30" s="507" t="s">
        <v>1245</v>
      </c>
      <c r="F30" s="311"/>
      <c r="G30" s="311"/>
      <c r="H30" s="311"/>
      <c r="J30" s="311"/>
      <c r="K30" s="311"/>
      <c r="L30" s="509"/>
      <c r="M30" s="509"/>
      <c r="N30" s="311"/>
      <c r="O30" s="311"/>
    </row>
    <row r="31" spans="1:15" s="4" customFormat="1" ht="29.25" customHeight="1">
      <c r="C31" s="521" t="s">
        <v>1078</v>
      </c>
      <c r="E31" s="525" t="s">
        <v>1079</v>
      </c>
      <c r="F31" s="25"/>
      <c r="K31" s="68"/>
      <c r="L31" s="68"/>
      <c r="M31" s="68"/>
      <c r="N31" s="68"/>
      <c r="O31" s="68"/>
    </row>
  </sheetData>
  <mergeCells count="6">
    <mergeCell ref="A3:E3"/>
    <mergeCell ref="A5:E5"/>
    <mergeCell ref="A6:E6"/>
    <mergeCell ref="A17:A18"/>
    <mergeCell ref="B17:B18"/>
    <mergeCell ref="C17:C18"/>
  </mergeCells>
  <phoneticPr fontId="116" type="noConversion"/>
  <pageMargins left="0.70866141732283472" right="0.70866141732283472" top="0.74803149606299213" bottom="0.74803149606299213" header="0.31496062992125984" footer="0.31496062992125984"/>
  <pageSetup paperSize="9" scale="65" orientation="portrait" r:id="rId1"/>
</worksheet>
</file>

<file path=xl/worksheets/sheet66.xml><?xml version="1.0" encoding="utf-8"?>
<worksheet xmlns="http://schemas.openxmlformats.org/spreadsheetml/2006/main" xmlns:r="http://schemas.openxmlformats.org/officeDocument/2006/relationships">
  <sheetPr>
    <tabColor rgb="FFFFFF00"/>
    <pageSetUpPr fitToPage="1"/>
  </sheetPr>
  <dimension ref="A1:P24"/>
  <sheetViews>
    <sheetView view="pageBreakPreview" zoomScale="89" zoomScaleNormal="100" zoomScaleSheetLayoutView="89" workbookViewId="0">
      <selection activeCell="D26" sqref="D26"/>
    </sheetView>
  </sheetViews>
  <sheetFormatPr defaultRowHeight="15"/>
  <cols>
    <col min="1" max="1" width="5.42578125" style="1" customWidth="1"/>
    <col min="2" max="2" width="56.140625" style="1" customWidth="1"/>
    <col min="3" max="3" width="25.5703125" style="1" customWidth="1"/>
    <col min="4" max="4" width="20.28515625" style="1" customWidth="1"/>
    <col min="5" max="5" width="16.42578125" style="1" customWidth="1"/>
    <col min="6" max="6" width="16" style="1" customWidth="1"/>
    <col min="7" max="16384" width="9.140625" style="1"/>
  </cols>
  <sheetData>
    <row r="1" spans="1:7" ht="15.75">
      <c r="A1" s="234"/>
      <c r="B1" s="234"/>
      <c r="C1" s="234"/>
      <c r="D1" s="234"/>
      <c r="E1" s="234"/>
      <c r="F1" s="209" t="s">
        <v>1795</v>
      </c>
    </row>
    <row r="2" spans="1:7" ht="15.75">
      <c r="A2" s="234"/>
      <c r="B2" s="234"/>
      <c r="C2" s="234"/>
      <c r="D2" s="234"/>
      <c r="E2" s="234"/>
      <c r="F2" s="209"/>
    </row>
    <row r="3" spans="1:7" ht="15.75">
      <c r="A3" s="2001" t="s">
        <v>1386</v>
      </c>
      <c r="B3" s="2001"/>
      <c r="C3" s="2001"/>
      <c r="D3" s="2001"/>
      <c r="E3" s="2001"/>
      <c r="F3" s="2001"/>
      <c r="G3" s="9"/>
    </row>
    <row r="4" spans="1:7" ht="25.5" customHeight="1">
      <c r="A4" s="234"/>
      <c r="B4" s="234"/>
      <c r="C4" s="1341" t="s">
        <v>126</v>
      </c>
      <c r="D4" s="234"/>
      <c r="E4" s="234"/>
      <c r="F4" s="234"/>
    </row>
    <row r="5" spans="1:7" ht="31.5">
      <c r="A5" s="334" t="s">
        <v>1255</v>
      </c>
      <c r="B5" s="334" t="s">
        <v>1297</v>
      </c>
      <c r="C5" s="334" t="s">
        <v>1743</v>
      </c>
      <c r="D5" s="334" t="s">
        <v>188</v>
      </c>
      <c r="E5" s="334" t="s">
        <v>189</v>
      </c>
      <c r="F5" s="334" t="s">
        <v>90</v>
      </c>
    </row>
    <row r="6" spans="1:7" ht="15.75">
      <c r="A6" s="229">
        <v>1</v>
      </c>
      <c r="B6" s="229">
        <v>2</v>
      </c>
      <c r="C6" s="229">
        <v>3</v>
      </c>
      <c r="D6" s="229">
        <v>4</v>
      </c>
      <c r="E6" s="229">
        <v>5</v>
      </c>
      <c r="F6" s="229">
        <v>6</v>
      </c>
    </row>
    <row r="7" spans="1:7" ht="15.75">
      <c r="A7" s="229">
        <v>1</v>
      </c>
      <c r="B7" s="243" t="s">
        <v>1802</v>
      </c>
      <c r="C7" s="229" t="s">
        <v>1296</v>
      </c>
      <c r="D7" s="229" t="s">
        <v>1296</v>
      </c>
      <c r="E7" s="229" t="s">
        <v>1296</v>
      </c>
      <c r="F7" s="229"/>
    </row>
    <row r="8" spans="1:7" ht="15.75">
      <c r="A8" s="229">
        <v>2</v>
      </c>
      <c r="B8" s="243" t="s">
        <v>1806</v>
      </c>
      <c r="C8" s="229" t="s">
        <v>1296</v>
      </c>
      <c r="D8" s="229" t="s">
        <v>1296</v>
      </c>
      <c r="E8" s="229" t="s">
        <v>1296</v>
      </c>
      <c r="F8" s="229"/>
    </row>
    <row r="9" spans="1:7" ht="31.5">
      <c r="A9" s="230">
        <v>3</v>
      </c>
      <c r="B9" s="243" t="s">
        <v>38</v>
      </c>
      <c r="C9" s="1286" t="s">
        <v>755</v>
      </c>
      <c r="D9" s="1286" t="s">
        <v>1212</v>
      </c>
      <c r="E9" s="334">
        <v>310</v>
      </c>
      <c r="F9" s="1342">
        <f ca="1">'310 учеб.'!Q26</f>
        <v>85000</v>
      </c>
      <c r="G9" s="38"/>
    </row>
    <row r="10" spans="1:7" ht="94.5" hidden="1">
      <c r="A10" s="230">
        <v>4</v>
      </c>
      <c r="B10" s="243" t="s">
        <v>35</v>
      </c>
      <c r="C10" s="243"/>
      <c r="D10" s="229"/>
      <c r="E10" s="229"/>
      <c r="F10" s="232"/>
    </row>
    <row r="11" spans="1:7" ht="110.25" hidden="1">
      <c r="A11" s="230">
        <v>5</v>
      </c>
      <c r="B11" s="243" t="s">
        <v>36</v>
      </c>
      <c r="C11" s="229" t="s">
        <v>1296</v>
      </c>
      <c r="D11" s="229" t="s">
        <v>1296</v>
      </c>
      <c r="E11" s="229" t="s">
        <v>1296</v>
      </c>
      <c r="F11" s="232"/>
    </row>
    <row r="12" spans="1:7" ht="15.75" hidden="1">
      <c r="A12" s="245"/>
      <c r="B12" s="243" t="s">
        <v>185</v>
      </c>
      <c r="C12" s="243"/>
      <c r="D12" s="229"/>
      <c r="E12" s="229"/>
      <c r="F12" s="232"/>
    </row>
    <row r="13" spans="1:7" ht="131.25" hidden="1" customHeight="1">
      <c r="A13" s="245" t="s">
        <v>1811</v>
      </c>
      <c r="B13" s="243" t="s">
        <v>39</v>
      </c>
      <c r="C13" s="243"/>
      <c r="D13" s="229"/>
      <c r="E13" s="229"/>
      <c r="F13" s="232"/>
    </row>
    <row r="14" spans="1:7" ht="126" hidden="1">
      <c r="A14" s="245" t="s">
        <v>1812</v>
      </c>
      <c r="B14" s="243" t="s">
        <v>40</v>
      </c>
      <c r="C14" s="243"/>
      <c r="D14" s="229"/>
      <c r="E14" s="229"/>
      <c r="F14" s="232"/>
    </row>
    <row r="15" spans="1:7" ht="78.75" hidden="1">
      <c r="A15" s="245" t="s">
        <v>1813</v>
      </c>
      <c r="B15" s="243" t="s">
        <v>41</v>
      </c>
      <c r="C15" s="243"/>
      <c r="D15" s="229"/>
      <c r="E15" s="229"/>
      <c r="F15" s="232"/>
    </row>
    <row r="16" spans="1:7" ht="107.25" hidden="1" customHeight="1">
      <c r="A16" s="245" t="s">
        <v>1814</v>
      </c>
      <c r="B16" s="243" t="s">
        <v>1907</v>
      </c>
      <c r="C16" s="243"/>
      <c r="D16" s="229"/>
      <c r="E16" s="229"/>
      <c r="F16" s="232"/>
    </row>
    <row r="17" spans="1:16" ht="63" hidden="1">
      <c r="A17" s="245" t="s">
        <v>1815</v>
      </c>
      <c r="B17" s="243" t="s">
        <v>1908</v>
      </c>
      <c r="C17" s="243"/>
      <c r="D17" s="229"/>
      <c r="E17" s="229"/>
      <c r="F17" s="232"/>
    </row>
    <row r="18" spans="1:16" ht="15.75" hidden="1">
      <c r="A18" s="245" t="s">
        <v>1816</v>
      </c>
      <c r="B18" s="243" t="s">
        <v>1909</v>
      </c>
      <c r="C18" s="243"/>
      <c r="D18" s="229"/>
      <c r="E18" s="229"/>
      <c r="F18" s="232"/>
    </row>
    <row r="19" spans="1:16" ht="15.75" hidden="1">
      <c r="A19" s="1218">
        <v>6</v>
      </c>
      <c r="B19" s="1219" t="s">
        <v>37</v>
      </c>
      <c r="C19" s="1219"/>
      <c r="D19" s="1217"/>
      <c r="E19" s="1217"/>
      <c r="F19" s="1220"/>
    </row>
    <row r="21" spans="1:16" s="207" customFormat="1" ht="15.75">
      <c r="B21" s="234" t="s">
        <v>1077</v>
      </c>
      <c r="C21" s="311"/>
      <c r="D21" s="507"/>
      <c r="E21" s="311"/>
      <c r="F21" s="507" t="s">
        <v>1040</v>
      </c>
      <c r="G21" s="311"/>
      <c r="H21" s="311"/>
      <c r="I21" s="311"/>
      <c r="K21" s="311"/>
      <c r="L21" s="311"/>
      <c r="M21" s="509"/>
      <c r="N21" s="509"/>
      <c r="O21" s="311"/>
      <c r="P21" s="311"/>
    </row>
    <row r="22" spans="1:16" s="207" customFormat="1" ht="31.5" customHeight="1">
      <c r="B22" s="221"/>
      <c r="C22" s="217"/>
      <c r="D22" s="523" t="s">
        <v>1078</v>
      </c>
      <c r="E22" s="217"/>
      <c r="F22" s="524" t="s">
        <v>1079</v>
      </c>
      <c r="G22" s="510"/>
      <c r="H22" s="511"/>
      <c r="I22" s="510"/>
      <c r="K22" s="510"/>
      <c r="L22" s="510"/>
      <c r="M22" s="509"/>
      <c r="N22" s="509"/>
      <c r="O22" s="510"/>
      <c r="P22" s="510"/>
    </row>
    <row r="23" spans="1:16" s="207" customFormat="1" ht="36" customHeight="1">
      <c r="B23" s="234" t="s">
        <v>1076</v>
      </c>
      <c r="C23" s="311"/>
      <c r="D23" s="507"/>
      <c r="E23" s="311"/>
      <c r="F23" s="507" t="s">
        <v>1245</v>
      </c>
      <c r="G23" s="311"/>
      <c r="H23" s="311"/>
      <c r="I23" s="311"/>
      <c r="K23" s="311"/>
      <c r="L23" s="311"/>
      <c r="M23" s="509"/>
      <c r="N23" s="509"/>
      <c r="O23" s="311"/>
      <c r="P23" s="311"/>
    </row>
    <row r="24" spans="1:16" s="4" customFormat="1" ht="29.25" customHeight="1">
      <c r="A24" s="25"/>
      <c r="D24" s="521" t="s">
        <v>1078</v>
      </c>
      <c r="F24" s="525" t="s">
        <v>1079</v>
      </c>
      <c r="G24" s="25"/>
      <c r="L24" s="68"/>
      <c r="M24" s="68"/>
      <c r="N24" s="68"/>
      <c r="O24" s="68"/>
      <c r="P24" s="68"/>
    </row>
  </sheetData>
  <mergeCells count="1">
    <mergeCell ref="A3:F3"/>
  </mergeCells>
  <phoneticPr fontId="116" type="noConversion"/>
  <pageMargins left="0.70866141732283472" right="0.70866141732283472" top="0.74803149606299213" bottom="0.74803149606299213" header="0.31496062992125984" footer="0.31496062992125984"/>
  <pageSetup paperSize="9" scale="62" orientation="portrait" r:id="rId1"/>
</worksheet>
</file>

<file path=xl/worksheets/sheet67.xml><?xml version="1.0" encoding="utf-8"?>
<worksheet xmlns="http://schemas.openxmlformats.org/spreadsheetml/2006/main" xmlns:r="http://schemas.openxmlformats.org/officeDocument/2006/relationships">
  <sheetPr codeName="Лист31">
    <tabColor rgb="FFFF0000"/>
  </sheetPr>
  <dimension ref="A1:Q26"/>
  <sheetViews>
    <sheetView view="pageBreakPreview" topLeftCell="A13" zoomScaleNormal="100" zoomScaleSheetLayoutView="100" workbookViewId="0">
      <selection activeCell="H17" sqref="H17"/>
    </sheetView>
  </sheetViews>
  <sheetFormatPr defaultRowHeight="15"/>
  <cols>
    <col min="1" max="1" width="4.85546875" style="1" customWidth="1"/>
    <col min="2" max="2" width="36.140625" style="1" customWidth="1"/>
    <col min="3" max="3" width="5.42578125" style="1" customWidth="1"/>
    <col min="4" max="4" width="14.42578125" style="1" customWidth="1"/>
    <col min="5" max="5" width="12.7109375" style="1" customWidth="1"/>
    <col min="6" max="6" width="14.5703125" style="1" customWidth="1"/>
    <col min="7" max="7" width="12.7109375" style="1" customWidth="1"/>
    <col min="8" max="8" width="11.42578125" style="1" customWidth="1"/>
    <col min="9" max="9" width="19.42578125" style="1" customWidth="1"/>
    <col min="10" max="16384" width="9.140625" style="1"/>
  </cols>
  <sheetData>
    <row r="1" spans="1:9" ht="27.4" customHeight="1">
      <c r="A1" s="234"/>
      <c r="B1" s="234"/>
      <c r="C1" s="234"/>
      <c r="D1" s="234"/>
      <c r="E1" s="234"/>
      <c r="F1" s="234"/>
      <c r="G1" s="234"/>
      <c r="H1" s="234"/>
      <c r="I1" s="209" t="s">
        <v>970</v>
      </c>
    </row>
    <row r="2" spans="1:9" ht="15.75">
      <c r="A2" s="234"/>
      <c r="B2" s="234"/>
      <c r="C2" s="234"/>
      <c r="D2" s="234"/>
      <c r="E2" s="234"/>
      <c r="F2" s="234"/>
      <c r="G2" s="234"/>
      <c r="H2" s="234"/>
      <c r="I2" s="234"/>
    </row>
    <row r="3" spans="1:9" ht="15" customHeight="1">
      <c r="A3" s="1804" t="s">
        <v>1726</v>
      </c>
      <c r="B3" s="1804"/>
      <c r="C3" s="1804"/>
      <c r="D3" s="1804"/>
      <c r="E3" s="1804"/>
      <c r="F3" s="1804"/>
      <c r="G3" s="1804"/>
      <c r="H3" s="1804"/>
      <c r="I3" s="1804"/>
    </row>
    <row r="4" spans="1:9" ht="15.75">
      <c r="A4" s="249"/>
      <c r="B4" s="249"/>
      <c r="C4" s="249"/>
      <c r="D4" s="249"/>
      <c r="E4" s="249"/>
      <c r="F4" s="249"/>
      <c r="G4" s="249"/>
      <c r="H4" s="249"/>
      <c r="I4" s="234"/>
    </row>
    <row r="5" spans="1:9" ht="15.75">
      <c r="A5" s="234" t="s">
        <v>754</v>
      </c>
      <c r="B5" s="669"/>
      <c r="C5" s="234"/>
      <c r="D5" s="234"/>
      <c r="E5" s="234"/>
      <c r="F5" s="234"/>
      <c r="G5" s="234"/>
      <c r="H5" s="234"/>
      <c r="I5" s="234"/>
    </row>
    <row r="6" spans="1:9" ht="15.75">
      <c r="A6" s="234"/>
      <c r="B6" s="234"/>
      <c r="C6" s="234"/>
      <c r="D6" s="234"/>
      <c r="E6" s="234"/>
      <c r="F6" s="234"/>
      <c r="G6" s="234"/>
      <c r="H6" s="234"/>
      <c r="I6" s="234"/>
    </row>
    <row r="7" spans="1:9" ht="15.75">
      <c r="A7" s="234" t="s">
        <v>1787</v>
      </c>
      <c r="B7" s="234"/>
      <c r="C7" s="234"/>
      <c r="D7" s="234"/>
      <c r="E7" s="234"/>
      <c r="F7" s="234"/>
      <c r="G7" s="234"/>
      <c r="H7" s="234"/>
      <c r="I7" s="234"/>
    </row>
    <row r="8" spans="1:9" ht="15.75">
      <c r="A8" s="234"/>
      <c r="B8" s="234"/>
      <c r="C8" s="234"/>
      <c r="D8" s="234"/>
      <c r="E8" s="234"/>
      <c r="F8" s="234"/>
      <c r="G8" s="234"/>
      <c r="H8" s="234"/>
      <c r="I8" s="234"/>
    </row>
    <row r="9" spans="1:9" ht="31.15" customHeight="1">
      <c r="A9" s="2013" t="s">
        <v>1255</v>
      </c>
      <c r="B9" s="2013" t="s">
        <v>1297</v>
      </c>
      <c r="C9" s="2013" t="s">
        <v>1305</v>
      </c>
      <c r="D9" s="2017" t="s">
        <v>1082</v>
      </c>
      <c r="E9" s="2012" t="s">
        <v>1719</v>
      </c>
      <c r="F9" s="2012"/>
      <c r="G9" s="2014" t="s">
        <v>1312</v>
      </c>
      <c r="H9" s="2015"/>
      <c r="I9" s="2016"/>
    </row>
    <row r="10" spans="1:9" ht="94.5">
      <c r="A10" s="2013"/>
      <c r="B10" s="2013"/>
      <c r="C10" s="2013"/>
      <c r="D10" s="2018"/>
      <c r="E10" s="334" t="s">
        <v>66</v>
      </c>
      <c r="F10" s="334" t="s">
        <v>1309</v>
      </c>
      <c r="G10" s="336" t="s">
        <v>1306</v>
      </c>
      <c r="H10" s="336" t="s">
        <v>1308</v>
      </c>
      <c r="I10" s="240" t="s">
        <v>1310</v>
      </c>
    </row>
    <row r="11" spans="1:9" ht="15.75">
      <c r="A11" s="229">
        <v>1</v>
      </c>
      <c r="B11" s="229">
        <v>2</v>
      </c>
      <c r="C11" s="229">
        <v>3</v>
      </c>
      <c r="D11" s="229">
        <v>4</v>
      </c>
      <c r="E11" s="229">
        <v>5</v>
      </c>
      <c r="F11" s="229">
        <v>6</v>
      </c>
      <c r="G11" s="229">
        <v>7</v>
      </c>
      <c r="H11" s="229">
        <v>8</v>
      </c>
      <c r="I11" s="230">
        <v>9</v>
      </c>
    </row>
    <row r="12" spans="1:9" ht="15.75">
      <c r="A12" s="229"/>
      <c r="B12" s="2008" t="s">
        <v>764</v>
      </c>
      <c r="C12" s="2009"/>
      <c r="D12" s="2009"/>
      <c r="E12" s="2009"/>
      <c r="F12" s="2009"/>
      <c r="G12" s="2009"/>
      <c r="H12" s="2010"/>
      <c r="I12" s="230"/>
    </row>
    <row r="13" spans="1:9" ht="31.5">
      <c r="A13" s="230">
        <v>1</v>
      </c>
      <c r="B13" s="243" t="s">
        <v>1785</v>
      </c>
      <c r="C13" s="229" t="s">
        <v>1135</v>
      </c>
      <c r="D13" s="547">
        <v>18</v>
      </c>
      <c r="E13" s="547">
        <v>18</v>
      </c>
      <c r="F13" s="1284">
        <v>18</v>
      </c>
      <c r="G13" s="338">
        <v>18</v>
      </c>
      <c r="H13" s="232">
        <v>3170</v>
      </c>
      <c r="I13" s="232">
        <f>G13*H13</f>
        <v>57060</v>
      </c>
    </row>
    <row r="14" spans="1:9" ht="15.75">
      <c r="A14" s="230">
        <v>2</v>
      </c>
      <c r="B14" s="243" t="s">
        <v>1786</v>
      </c>
      <c r="C14" s="229" t="s">
        <v>1135</v>
      </c>
      <c r="D14" s="547">
        <v>36</v>
      </c>
      <c r="E14" s="547">
        <v>38</v>
      </c>
      <c r="F14" s="1285">
        <v>36</v>
      </c>
      <c r="G14" s="338">
        <v>36</v>
      </c>
      <c r="H14" s="232">
        <v>842</v>
      </c>
      <c r="I14" s="232">
        <f>G14*H14</f>
        <v>30312</v>
      </c>
    </row>
    <row r="15" spans="1:9" ht="15.75">
      <c r="A15" s="230"/>
      <c r="B15" s="2011" t="s">
        <v>183</v>
      </c>
      <c r="C15" s="2011"/>
      <c r="D15" s="2011"/>
      <c r="E15" s="2011"/>
      <c r="F15" s="2011"/>
      <c r="G15" s="2011"/>
      <c r="H15" s="2011"/>
      <c r="I15" s="354">
        <f>I13+I14</f>
        <v>87372</v>
      </c>
    </row>
    <row r="16" spans="1:9" ht="15.75">
      <c r="A16" s="229"/>
      <c r="B16" s="2008" t="s">
        <v>765</v>
      </c>
      <c r="C16" s="2009"/>
      <c r="D16" s="2009"/>
      <c r="E16" s="2009"/>
      <c r="F16" s="2009"/>
      <c r="G16" s="2009"/>
      <c r="H16" s="2010"/>
      <c r="I16" s="230"/>
    </row>
    <row r="17" spans="1:17" ht="31.5">
      <c r="A17" s="230">
        <v>1</v>
      </c>
      <c r="B17" s="243" t="s">
        <v>769</v>
      </c>
      <c r="C17" s="229" t="s">
        <v>1135</v>
      </c>
      <c r="D17" s="547">
        <v>1</v>
      </c>
      <c r="E17" s="547">
        <v>0</v>
      </c>
      <c r="F17" s="1284">
        <v>0</v>
      </c>
      <c r="G17" s="338">
        <f>D17</f>
        <v>1</v>
      </c>
      <c r="H17" s="431">
        <f>18130.03+49589.47</f>
        <v>67719.5</v>
      </c>
      <c r="I17" s="232">
        <f>G17*H17</f>
        <v>67719.5</v>
      </c>
    </row>
    <row r="18" spans="1:17" ht="31.5">
      <c r="A18" s="230">
        <f>A17+1</f>
        <v>2</v>
      </c>
      <c r="B18" s="243" t="s">
        <v>766</v>
      </c>
      <c r="C18" s="229" t="s">
        <v>1135</v>
      </c>
      <c r="D18" s="547">
        <v>1</v>
      </c>
      <c r="E18" s="547">
        <v>0</v>
      </c>
      <c r="F18" s="1285">
        <v>0</v>
      </c>
      <c r="G18" s="338">
        <f>D18</f>
        <v>1</v>
      </c>
      <c r="H18" s="232">
        <v>3743.01</v>
      </c>
      <c r="I18" s="232">
        <f>G18*H18</f>
        <v>3743.01</v>
      </c>
    </row>
    <row r="19" spans="1:17" ht="31.5">
      <c r="A19" s="230">
        <f>A18+1</f>
        <v>3</v>
      </c>
      <c r="B19" s="243" t="s">
        <v>767</v>
      </c>
      <c r="C19" s="229" t="s">
        <v>1135</v>
      </c>
      <c r="D19" s="547">
        <v>2</v>
      </c>
      <c r="E19" s="547">
        <v>0</v>
      </c>
      <c r="F19" s="1285">
        <v>0</v>
      </c>
      <c r="G19" s="338">
        <f>D19</f>
        <v>2</v>
      </c>
      <c r="H19" s="232">
        <v>2743</v>
      </c>
      <c r="I19" s="232">
        <f>G19*H19</f>
        <v>5486</v>
      </c>
    </row>
    <row r="20" spans="1:17" ht="31.5">
      <c r="A20" s="230">
        <f>A19+1</f>
        <v>4</v>
      </c>
      <c r="B20" s="243" t="s">
        <v>768</v>
      </c>
      <c r="C20" s="229" t="s">
        <v>1135</v>
      </c>
      <c r="D20" s="547">
        <v>1</v>
      </c>
      <c r="E20" s="547">
        <v>0</v>
      </c>
      <c r="F20" s="1285">
        <v>0</v>
      </c>
      <c r="G20" s="338">
        <f>D20</f>
        <v>1</v>
      </c>
      <c r="H20" s="232">
        <v>729.46</v>
      </c>
      <c r="I20" s="232">
        <f>G20*H20</f>
        <v>729.46</v>
      </c>
    </row>
    <row r="21" spans="1:17" s="207" customFormat="1" ht="27.4" customHeight="1">
      <c r="A21" s="230"/>
      <c r="B21" s="2011" t="s">
        <v>183</v>
      </c>
      <c r="C21" s="2011"/>
      <c r="D21" s="2011"/>
      <c r="E21" s="2011"/>
      <c r="F21" s="2011"/>
      <c r="G21" s="2011"/>
      <c r="H21" s="2011"/>
      <c r="I21" s="354">
        <f>SUM(I17:I20)</f>
        <v>77677.97</v>
      </c>
      <c r="J21" s="311"/>
      <c r="L21" s="311"/>
      <c r="M21" s="311"/>
      <c r="N21" s="509"/>
      <c r="O21" s="509"/>
      <c r="P21" s="311"/>
      <c r="Q21" s="311"/>
    </row>
    <row r="22" spans="1:17" s="207" customFormat="1" ht="27.4" customHeight="1">
      <c r="A22" s="230"/>
      <c r="B22" s="2011" t="s">
        <v>879</v>
      </c>
      <c r="C22" s="2011"/>
      <c r="D22" s="2011"/>
      <c r="E22" s="2011"/>
      <c r="F22" s="2011"/>
      <c r="G22" s="2011"/>
      <c r="H22" s="2011"/>
      <c r="I22" s="354">
        <f>I15+I21</f>
        <v>165049.97</v>
      </c>
      <c r="J22" s="311"/>
      <c r="L22" s="311"/>
      <c r="M22" s="311"/>
      <c r="N22" s="509"/>
      <c r="O22" s="509"/>
      <c r="P22" s="311"/>
      <c r="Q22" s="311"/>
    </row>
    <row r="23" spans="1:17" s="207" customFormat="1" ht="34.700000000000003" customHeight="1">
      <c r="B23" s="234" t="s">
        <v>1077</v>
      </c>
      <c r="C23" s="311"/>
      <c r="D23" s="311"/>
      <c r="E23" s="311"/>
      <c r="F23" s="507"/>
      <c r="G23" s="311"/>
      <c r="H23" s="311"/>
      <c r="I23" s="507" t="s">
        <v>1344</v>
      </c>
      <c r="J23" s="510"/>
      <c r="L23" s="510"/>
      <c r="M23" s="510"/>
      <c r="N23" s="509"/>
      <c r="O23" s="509"/>
      <c r="P23" s="510"/>
      <c r="Q23" s="510"/>
    </row>
    <row r="24" spans="1:17" s="207" customFormat="1" ht="42.75" customHeight="1">
      <c r="B24" s="526"/>
      <c r="C24" s="523"/>
      <c r="D24" s="523"/>
      <c r="E24" s="527"/>
      <c r="F24" s="523" t="s">
        <v>1078</v>
      </c>
      <c r="G24" s="524"/>
      <c r="H24" s="524"/>
      <c r="I24" s="524" t="s">
        <v>1079</v>
      </c>
      <c r="J24" s="311"/>
      <c r="L24" s="311"/>
      <c r="M24" s="311"/>
      <c r="N24" s="509"/>
      <c r="O24" s="509"/>
      <c r="P24" s="311"/>
      <c r="Q24" s="311"/>
    </row>
    <row r="25" spans="1:17" s="207" customFormat="1" ht="40.5" customHeight="1">
      <c r="B25" s="435" t="s">
        <v>1076</v>
      </c>
      <c r="C25" s="528"/>
      <c r="D25" s="528"/>
      <c r="E25" s="528"/>
      <c r="F25" s="529"/>
      <c r="G25" s="528"/>
      <c r="H25" s="528"/>
      <c r="I25" s="529" t="s">
        <v>1245</v>
      </c>
      <c r="J25" s="510"/>
      <c r="L25" s="510"/>
      <c r="M25" s="510"/>
      <c r="N25" s="509"/>
      <c r="O25" s="509"/>
      <c r="P25" s="510"/>
      <c r="Q25" s="510"/>
    </row>
    <row r="26" spans="1:17" ht="31.5">
      <c r="A26" s="207"/>
      <c r="B26" s="526"/>
      <c r="C26" s="523"/>
      <c r="D26" s="523"/>
      <c r="E26" s="527"/>
      <c r="F26" s="523" t="s">
        <v>1078</v>
      </c>
      <c r="G26" s="524"/>
      <c r="H26" s="524"/>
      <c r="I26" s="524" t="s">
        <v>1079</v>
      </c>
    </row>
  </sheetData>
  <customSheetViews>
    <customSheetView guid="{CA0FB9E2-E541-4C74-BCFE-D75491869B36}" showPageBreaks="1" printArea="1" view="pageBreakPreview">
      <selection activeCell="D14" sqref="D14"/>
      <pageMargins left="0.70866141732283472" right="0.70866141732283472" top="0.74803149606299213" bottom="0.74803149606299213" header="0.31496062992125984" footer="0.31496062992125984"/>
      <pageSetup paperSize="9" scale="66" orientation="portrait" r:id="rId1"/>
    </customSheetView>
    <customSheetView guid="{F10E3D8B-5892-420A-B023-68C6496D556B}" printArea="1">
      <selection activeCell="A4" sqref="A4:IV6"/>
      <pageMargins left="0.70866141732283472" right="0.70866141732283472" top="0.74803149606299213" bottom="0.74803149606299213" header="0.31496062992125984" footer="0.31496062992125984"/>
      <pageSetup paperSize="9" scale="80" orientation="portrait" r:id="rId2"/>
    </customSheetView>
    <customSheetView guid="{FE7E58EF-FECC-4DF6-BB75-BA97138CB219}" printArea="1">
      <selection activeCell="A4" sqref="A4:IV6"/>
      <pageMargins left="0.70866141732283472" right="0.70866141732283472" top="0.74803149606299213" bottom="0.74803149606299213" header="0.31496062992125984" footer="0.31496062992125984"/>
      <pageSetup paperSize="9" scale="80" orientation="portrait" r:id="rId3"/>
    </customSheetView>
    <customSheetView guid="{43136B00-66C6-4289-99D3-5EF20611F834}" showPageBreaks="1" printArea="1" view="pageBreakPreview" topLeftCell="A4">
      <selection activeCell="B27" sqref="B27"/>
      <pageMargins left="0.70866141732283472" right="0.70866141732283472" top="0.74803149606299213" bottom="0.74803149606299213" header="0.31496062992125984" footer="0.31496062992125984"/>
      <pageSetup paperSize="9" scale="67" orientation="portrait" r:id="rId4"/>
    </customSheetView>
    <customSheetView guid="{22820B9F-10DE-4629-AF3D-4AF98A9BCEDB}" showPageBreaks="1" printArea="1" view="pageBreakPreview">
      <selection activeCell="A18" sqref="A18:IV21"/>
      <pageMargins left="0.70866141732283472" right="0.70866141732283472" top="0.74803149606299213" bottom="0.74803149606299213" header="0.31496062992125984" footer="0.31496062992125984"/>
      <pageSetup paperSize="9" scale="74" orientation="portrait" r:id="rId5"/>
    </customSheetView>
  </customSheetViews>
  <mergeCells count="12">
    <mergeCell ref="G9:I9"/>
    <mergeCell ref="D9:D10"/>
    <mergeCell ref="B12:H12"/>
    <mergeCell ref="B16:H16"/>
    <mergeCell ref="B15:H15"/>
    <mergeCell ref="B22:H22"/>
    <mergeCell ref="B21:H21"/>
    <mergeCell ref="A3:I3"/>
    <mergeCell ref="E9:F9"/>
    <mergeCell ref="A9:A10"/>
    <mergeCell ref="B9:B10"/>
    <mergeCell ref="C9:C10"/>
  </mergeCells>
  <phoneticPr fontId="116" type="noConversion"/>
  <pageMargins left="0.70866141732283472" right="0.70866141732283472" top="0.74803149606299213" bottom="0.74803149606299213" header="0.31496062992125984" footer="0.31496062992125984"/>
  <pageSetup paperSize="9" scale="66" orientation="portrait" r:id="rId6"/>
</worksheet>
</file>

<file path=xl/worksheets/sheet68.xml><?xml version="1.0" encoding="utf-8"?>
<worksheet xmlns="http://schemas.openxmlformats.org/spreadsheetml/2006/main" xmlns:r="http://schemas.openxmlformats.org/officeDocument/2006/relationships">
  <sheetPr codeName="Лист32">
    <tabColor rgb="FFFFFF00"/>
  </sheetPr>
  <dimension ref="A1:R35"/>
  <sheetViews>
    <sheetView view="pageBreakPreview" topLeftCell="A4" zoomScaleNormal="100" zoomScaleSheetLayoutView="100" workbookViewId="0">
      <selection activeCell="K9" sqref="K9"/>
    </sheetView>
  </sheetViews>
  <sheetFormatPr defaultRowHeight="15"/>
  <cols>
    <col min="1" max="1" width="4.140625" style="28" bestFit="1" customWidth="1"/>
    <col min="2" max="2" width="24.5703125" style="30" customWidth="1"/>
    <col min="3" max="3" width="3.28515625" style="28" customWidth="1"/>
    <col min="4" max="4" width="5.7109375" style="28" customWidth="1"/>
    <col min="5" max="6" width="3.28515625" style="28" customWidth="1"/>
    <col min="7" max="14" width="3.28515625" style="30" customWidth="1"/>
    <col min="15" max="15" width="10" style="30" customWidth="1"/>
    <col min="16" max="16" width="8.85546875" style="30" customWidth="1"/>
    <col min="17" max="17" width="20.28515625" style="30" customWidth="1"/>
    <col min="18" max="18" width="15.28515625" style="30" customWidth="1"/>
    <col min="19" max="16384" width="9.140625" style="30"/>
  </cols>
  <sheetData>
    <row r="1" spans="1:18" ht="15.75">
      <c r="A1" s="267"/>
      <c r="B1" s="288"/>
      <c r="C1" s="267"/>
      <c r="D1" s="267"/>
      <c r="E1" s="267"/>
      <c r="F1" s="267"/>
      <c r="G1" s="288"/>
      <c r="H1" s="288"/>
      <c r="I1" s="288"/>
      <c r="J1" s="288"/>
      <c r="K1" s="288"/>
      <c r="L1" s="288"/>
      <c r="M1" s="288"/>
      <c r="N1" s="288"/>
      <c r="O1" s="288"/>
      <c r="P1" s="288"/>
      <c r="Q1" s="209" t="s">
        <v>971</v>
      </c>
      <c r="R1"/>
    </row>
    <row r="2" spans="1:18" ht="15.75">
      <c r="A2" s="267"/>
      <c r="B2" s="288"/>
      <c r="C2" s="267"/>
      <c r="D2" s="267"/>
      <c r="E2" s="267"/>
      <c r="F2" s="267"/>
      <c r="G2" s="288"/>
      <c r="H2" s="288"/>
      <c r="I2" s="288"/>
      <c r="J2" s="288"/>
      <c r="K2" s="288"/>
      <c r="L2" s="288"/>
      <c r="M2" s="288"/>
      <c r="N2" s="288"/>
      <c r="O2" s="288"/>
      <c r="P2" s="288"/>
      <c r="Q2" s="288"/>
      <c r="R2"/>
    </row>
    <row r="3" spans="1:18" ht="33.75" customHeight="1">
      <c r="A3" s="1809" t="s">
        <v>1727</v>
      </c>
      <c r="B3" s="1809"/>
      <c r="C3" s="1809"/>
      <c r="D3" s="1809"/>
      <c r="E3" s="1809"/>
      <c r="F3" s="1809"/>
      <c r="G3" s="1809"/>
      <c r="H3" s="1809"/>
      <c r="I3" s="1809"/>
      <c r="J3" s="1809"/>
      <c r="K3" s="1809"/>
      <c r="L3" s="1809"/>
      <c r="M3" s="1809"/>
      <c r="N3" s="1809"/>
      <c r="O3" s="1809"/>
      <c r="P3" s="1809"/>
      <c r="Q3" s="1809"/>
      <c r="R3"/>
    </row>
    <row r="4" spans="1:18" ht="30" customHeight="1">
      <c r="A4" s="267"/>
      <c r="B4" s="267"/>
      <c r="C4" s="267"/>
      <c r="D4" s="267"/>
      <c r="E4" s="1477" t="s">
        <v>131</v>
      </c>
      <c r="F4" s="1477"/>
      <c r="G4" s="1477"/>
      <c r="H4" s="1477"/>
      <c r="I4" s="1477"/>
      <c r="J4" s="1477"/>
      <c r="K4" s="1477"/>
      <c r="L4" s="1477"/>
      <c r="M4" s="1477"/>
      <c r="N4" s="1477"/>
      <c r="O4" s="1477"/>
      <c r="P4" s="267"/>
      <c r="Q4" s="267"/>
      <c r="R4"/>
    </row>
    <row r="5" spans="1:18" ht="15.75" customHeight="1">
      <c r="A5" s="1516" t="s">
        <v>1267</v>
      </c>
      <c r="B5" s="1516" t="s">
        <v>218</v>
      </c>
      <c r="C5" s="2020" t="s">
        <v>1536</v>
      </c>
      <c r="D5" s="2021"/>
      <c r="E5" s="2021"/>
      <c r="F5" s="2021"/>
      <c r="G5" s="2021"/>
      <c r="H5" s="2021"/>
      <c r="I5" s="2021"/>
      <c r="J5" s="2021"/>
      <c r="K5" s="2021"/>
      <c r="L5" s="2021"/>
      <c r="M5" s="2021"/>
      <c r="N5" s="2022"/>
      <c r="O5" s="1516" t="s">
        <v>1535</v>
      </c>
      <c r="P5" s="1516" t="s">
        <v>223</v>
      </c>
      <c r="Q5" s="1516" t="s">
        <v>90</v>
      </c>
      <c r="R5"/>
    </row>
    <row r="6" spans="1:18" s="74" customFormat="1" ht="15.75">
      <c r="A6" s="1518"/>
      <c r="B6" s="1518"/>
      <c r="C6" s="238">
        <v>0</v>
      </c>
      <c r="D6" s="238">
        <v>1</v>
      </c>
      <c r="E6" s="238">
        <v>2</v>
      </c>
      <c r="F6" s="238">
        <v>3</v>
      </c>
      <c r="G6" s="238">
        <v>4</v>
      </c>
      <c r="H6" s="238">
        <v>5</v>
      </c>
      <c r="I6" s="238">
        <v>6</v>
      </c>
      <c r="J6" s="238">
        <v>7</v>
      </c>
      <c r="K6" s="238">
        <v>8</v>
      </c>
      <c r="L6" s="238">
        <v>9</v>
      </c>
      <c r="M6" s="238">
        <v>10</v>
      </c>
      <c r="N6" s="238">
        <v>11</v>
      </c>
      <c r="O6" s="1518"/>
      <c r="P6" s="1518"/>
      <c r="Q6" s="1518"/>
    </row>
    <row r="7" spans="1:18" ht="31.5">
      <c r="A7" s="246">
        <v>1</v>
      </c>
      <c r="B7" s="363" t="s">
        <v>733</v>
      </c>
      <c r="C7" s="335"/>
      <c r="D7" s="335"/>
      <c r="E7" s="335">
        <v>10</v>
      </c>
      <c r="F7" s="335"/>
      <c r="G7" s="335"/>
      <c r="H7" s="335"/>
      <c r="I7" s="335"/>
      <c r="J7" s="335"/>
      <c r="K7" s="335"/>
      <c r="L7" s="335"/>
      <c r="M7" s="335"/>
      <c r="N7" s="335"/>
      <c r="O7" s="335">
        <v>10</v>
      </c>
      <c r="P7" s="1271">
        <v>359.37</v>
      </c>
      <c r="Q7" s="1135">
        <f>O7*P7</f>
        <v>3593.7</v>
      </c>
    </row>
    <row r="8" spans="1:18" ht="31.5">
      <c r="A8" s="246">
        <v>2</v>
      </c>
      <c r="B8" s="1270" t="s">
        <v>734</v>
      </c>
      <c r="C8" s="246"/>
      <c r="D8" s="246"/>
      <c r="E8" s="246"/>
      <c r="F8" s="246">
        <v>10</v>
      </c>
      <c r="G8" s="246">
        <v>10</v>
      </c>
      <c r="H8" s="246"/>
      <c r="I8" s="246"/>
      <c r="J8" s="246"/>
      <c r="K8" s="246"/>
      <c r="L8" s="246"/>
      <c r="M8" s="246"/>
      <c r="N8" s="246"/>
      <c r="O8" s="335">
        <v>20</v>
      </c>
      <c r="P8" s="247">
        <v>406.1</v>
      </c>
      <c r="Q8" s="1135">
        <f t="shared" ref="Q8:Q18" si="0">O8*P8</f>
        <v>8122</v>
      </c>
      <c r="R8"/>
    </row>
    <row r="9" spans="1:18" ht="31.5">
      <c r="A9" s="246">
        <v>3</v>
      </c>
      <c r="B9" s="1270" t="s">
        <v>735</v>
      </c>
      <c r="C9" s="246"/>
      <c r="D9" s="246"/>
      <c r="E9" s="246">
        <v>10</v>
      </c>
      <c r="F9" s="246"/>
      <c r="G9" s="246"/>
      <c r="H9" s="246"/>
      <c r="I9" s="246"/>
      <c r="J9" s="246"/>
      <c r="K9" s="246"/>
      <c r="L9" s="246"/>
      <c r="M9" s="246"/>
      <c r="N9" s="246"/>
      <c r="O9" s="335">
        <v>10</v>
      </c>
      <c r="P9" s="247">
        <v>407.2</v>
      </c>
      <c r="Q9" s="1135">
        <f t="shared" si="0"/>
        <v>4072</v>
      </c>
      <c r="R9"/>
    </row>
    <row r="10" spans="1:18" ht="15.75">
      <c r="A10" s="246">
        <v>4</v>
      </c>
      <c r="B10" s="1270" t="s">
        <v>736</v>
      </c>
      <c r="C10" s="246"/>
      <c r="D10" s="246"/>
      <c r="E10" s="246"/>
      <c r="F10" s="246">
        <v>6</v>
      </c>
      <c r="G10" s="246"/>
      <c r="H10" s="246"/>
      <c r="I10" s="246"/>
      <c r="J10" s="246"/>
      <c r="K10" s="246"/>
      <c r="L10" s="246"/>
      <c r="M10" s="246"/>
      <c r="N10" s="246"/>
      <c r="O10" s="335">
        <v>6</v>
      </c>
      <c r="P10" s="247">
        <v>407.2</v>
      </c>
      <c r="Q10" s="1135">
        <f t="shared" si="0"/>
        <v>2443.1999999999998</v>
      </c>
      <c r="R10"/>
    </row>
    <row r="11" spans="1:18" ht="31.5">
      <c r="A11" s="246">
        <v>5</v>
      </c>
      <c r="B11" s="1270" t="s">
        <v>737</v>
      </c>
      <c r="C11" s="246"/>
      <c r="D11" s="246"/>
      <c r="E11" s="246"/>
      <c r="F11" s="246"/>
      <c r="G11" s="246">
        <v>8</v>
      </c>
      <c r="H11" s="246"/>
      <c r="I11" s="246"/>
      <c r="J11" s="246"/>
      <c r="K11" s="246"/>
      <c r="L11" s="246"/>
      <c r="M11" s="246"/>
      <c r="N11" s="246"/>
      <c r="O11" s="335">
        <v>8</v>
      </c>
      <c r="P11" s="247">
        <v>407.2</v>
      </c>
      <c r="Q11" s="1135">
        <f t="shared" si="0"/>
        <v>3257.6</v>
      </c>
      <c r="R11"/>
    </row>
    <row r="12" spans="1:18" ht="31.5">
      <c r="A12" s="246">
        <v>6</v>
      </c>
      <c r="B12" s="1270" t="s">
        <v>738</v>
      </c>
      <c r="C12" s="246"/>
      <c r="D12" s="246"/>
      <c r="E12" s="246">
        <v>5</v>
      </c>
      <c r="F12" s="246">
        <v>5</v>
      </c>
      <c r="G12" s="246">
        <v>5</v>
      </c>
      <c r="H12" s="246"/>
      <c r="I12" s="246"/>
      <c r="J12" s="246"/>
      <c r="K12" s="246"/>
      <c r="L12" s="246"/>
      <c r="M12" s="246"/>
      <c r="N12" s="246"/>
      <c r="O12" s="335">
        <v>15</v>
      </c>
      <c r="P12" s="247">
        <v>406.1</v>
      </c>
      <c r="Q12" s="1135">
        <f t="shared" si="0"/>
        <v>6091.5</v>
      </c>
      <c r="R12"/>
    </row>
    <row r="13" spans="1:18" ht="31.5">
      <c r="A13" s="246">
        <v>7</v>
      </c>
      <c r="B13" s="1270" t="s">
        <v>739</v>
      </c>
      <c r="C13" s="246"/>
      <c r="D13" s="246"/>
      <c r="E13" s="246">
        <v>10</v>
      </c>
      <c r="F13" s="246">
        <v>10</v>
      </c>
      <c r="G13" s="246">
        <v>10</v>
      </c>
      <c r="H13" s="246"/>
      <c r="I13" s="246"/>
      <c r="J13" s="246"/>
      <c r="K13" s="246"/>
      <c r="L13" s="246"/>
      <c r="M13" s="246"/>
      <c r="N13" s="246"/>
      <c r="O13" s="335">
        <v>30</v>
      </c>
      <c r="P13" s="247">
        <v>480</v>
      </c>
      <c r="Q13" s="1135">
        <f t="shared" si="0"/>
        <v>14400</v>
      </c>
      <c r="R13"/>
    </row>
    <row r="14" spans="1:18" ht="31.5">
      <c r="A14" s="246">
        <v>8</v>
      </c>
      <c r="B14" s="1270" t="s">
        <v>740</v>
      </c>
      <c r="C14" s="246"/>
      <c r="D14" s="246"/>
      <c r="E14" s="246">
        <v>6</v>
      </c>
      <c r="F14" s="246">
        <v>6</v>
      </c>
      <c r="G14" s="246">
        <v>6</v>
      </c>
      <c r="H14" s="246"/>
      <c r="I14" s="246"/>
      <c r="J14" s="246"/>
      <c r="K14" s="246"/>
      <c r="L14" s="246"/>
      <c r="M14" s="246"/>
      <c r="N14" s="246"/>
      <c r="O14" s="335">
        <v>18</v>
      </c>
      <c r="P14" s="247">
        <v>420.5</v>
      </c>
      <c r="Q14" s="1135">
        <f t="shared" si="0"/>
        <v>7569</v>
      </c>
      <c r="R14"/>
    </row>
    <row r="15" spans="1:18" ht="31.5">
      <c r="A15" s="246">
        <v>9</v>
      </c>
      <c r="B15" s="1270" t="s">
        <v>741</v>
      </c>
      <c r="C15" s="246"/>
      <c r="D15" s="246"/>
      <c r="E15" s="246"/>
      <c r="F15" s="246"/>
      <c r="G15" s="246"/>
      <c r="H15" s="246"/>
      <c r="I15" s="246">
        <v>10</v>
      </c>
      <c r="J15" s="246"/>
      <c r="K15" s="246"/>
      <c r="L15" s="246"/>
      <c r="M15" s="246"/>
      <c r="N15" s="246"/>
      <c r="O15" s="335">
        <v>10</v>
      </c>
      <c r="P15" s="247">
        <v>409.5</v>
      </c>
      <c r="Q15" s="1135">
        <f t="shared" si="0"/>
        <v>4095</v>
      </c>
      <c r="R15"/>
    </row>
    <row r="16" spans="1:18" ht="15.75">
      <c r="A16" s="246">
        <v>10</v>
      </c>
      <c r="B16" s="1270" t="s">
        <v>742</v>
      </c>
      <c r="C16" s="246"/>
      <c r="D16" s="246"/>
      <c r="E16" s="246"/>
      <c r="F16" s="246"/>
      <c r="G16" s="246"/>
      <c r="H16" s="246"/>
      <c r="I16" s="246"/>
      <c r="J16" s="246">
        <v>10</v>
      </c>
      <c r="K16" s="246">
        <v>10</v>
      </c>
      <c r="L16" s="246">
        <v>10</v>
      </c>
      <c r="M16" s="246"/>
      <c r="N16" s="246"/>
      <c r="O16" s="335">
        <v>30</v>
      </c>
      <c r="P16" s="247">
        <v>409.5</v>
      </c>
      <c r="Q16" s="1135">
        <f t="shared" si="0"/>
        <v>12285</v>
      </c>
      <c r="R16"/>
    </row>
    <row r="17" spans="1:18" ht="31.5">
      <c r="A17" s="246">
        <v>11</v>
      </c>
      <c r="B17" s="1270" t="s">
        <v>743</v>
      </c>
      <c r="C17" s="246"/>
      <c r="D17" s="246"/>
      <c r="E17" s="246"/>
      <c r="F17" s="246"/>
      <c r="G17" s="246"/>
      <c r="H17" s="246"/>
      <c r="I17" s="246">
        <v>10</v>
      </c>
      <c r="J17" s="246">
        <v>5</v>
      </c>
      <c r="K17" s="246">
        <v>5</v>
      </c>
      <c r="L17" s="246">
        <v>5</v>
      </c>
      <c r="M17" s="246"/>
      <c r="N17" s="246"/>
      <c r="O17" s="335">
        <v>25</v>
      </c>
      <c r="P17" s="247">
        <v>550.79999999999995</v>
      </c>
      <c r="Q17" s="1135">
        <f t="shared" si="0"/>
        <v>13769.999999999998</v>
      </c>
      <c r="R17"/>
    </row>
    <row r="18" spans="1:18" ht="31.5">
      <c r="A18" s="246">
        <v>12</v>
      </c>
      <c r="B18" s="1270" t="s">
        <v>744</v>
      </c>
      <c r="C18" s="246"/>
      <c r="D18" s="246"/>
      <c r="E18" s="246"/>
      <c r="F18" s="246"/>
      <c r="G18" s="246"/>
      <c r="H18" s="246">
        <v>10</v>
      </c>
      <c r="I18" s="246"/>
      <c r="J18" s="246"/>
      <c r="K18" s="246"/>
      <c r="L18" s="246"/>
      <c r="M18" s="246"/>
      <c r="N18" s="246"/>
      <c r="O18" s="335">
        <v>10</v>
      </c>
      <c r="P18" s="247">
        <v>530.1</v>
      </c>
      <c r="Q18" s="1135">
        <f t="shared" si="0"/>
        <v>5301</v>
      </c>
      <c r="R18"/>
    </row>
    <row r="19" spans="1:18" ht="15.75" hidden="1">
      <c r="A19" s="246">
        <v>13</v>
      </c>
      <c r="B19" s="1270"/>
      <c r="C19" s="246"/>
      <c r="D19" s="246"/>
      <c r="E19" s="246"/>
      <c r="F19" s="246"/>
      <c r="G19" s="246"/>
      <c r="H19" s="246"/>
      <c r="I19" s="246"/>
      <c r="J19" s="246"/>
      <c r="K19" s="246"/>
      <c r="L19" s="246"/>
      <c r="M19" s="246"/>
      <c r="N19" s="246"/>
      <c r="O19" s="335">
        <v>0</v>
      </c>
      <c r="P19" s="247"/>
      <c r="Q19" s="1135">
        <v>0</v>
      </c>
      <c r="R19"/>
    </row>
    <row r="20" spans="1:18" ht="15.75" hidden="1">
      <c r="A20" s="246">
        <v>14</v>
      </c>
      <c r="B20" s="1270"/>
      <c r="C20" s="246"/>
      <c r="D20" s="246"/>
      <c r="E20" s="246"/>
      <c r="F20" s="246"/>
      <c r="G20" s="246"/>
      <c r="H20" s="246"/>
      <c r="I20" s="246"/>
      <c r="J20" s="246"/>
      <c r="K20" s="246"/>
      <c r="L20" s="246"/>
      <c r="M20" s="246"/>
      <c r="N20" s="246"/>
      <c r="O20" s="335">
        <v>0</v>
      </c>
      <c r="P20" s="247"/>
      <c r="Q20" s="1135">
        <v>0</v>
      </c>
      <c r="R20"/>
    </row>
    <row r="21" spans="1:18" ht="15.75" hidden="1">
      <c r="A21" s="246">
        <v>15</v>
      </c>
      <c r="B21" s="1270"/>
      <c r="C21" s="246"/>
      <c r="D21" s="246"/>
      <c r="E21" s="246"/>
      <c r="F21" s="246"/>
      <c r="G21" s="246"/>
      <c r="H21" s="246"/>
      <c r="I21" s="246"/>
      <c r="J21" s="246"/>
      <c r="K21" s="246"/>
      <c r="L21" s="246"/>
      <c r="M21" s="246"/>
      <c r="N21" s="246"/>
      <c r="O21" s="335">
        <v>0</v>
      </c>
      <c r="P21" s="247"/>
      <c r="Q21" s="1135">
        <v>0</v>
      </c>
      <c r="R21"/>
    </row>
    <row r="22" spans="1:18" ht="15.75" hidden="1">
      <c r="A22" s="246">
        <v>16</v>
      </c>
      <c r="B22" s="1270"/>
      <c r="C22" s="246"/>
      <c r="D22" s="246"/>
      <c r="E22" s="246"/>
      <c r="F22" s="246"/>
      <c r="G22" s="246"/>
      <c r="H22" s="246"/>
      <c r="I22" s="246"/>
      <c r="J22" s="246"/>
      <c r="K22" s="246"/>
      <c r="L22" s="246"/>
      <c r="M22" s="246"/>
      <c r="N22" s="246"/>
      <c r="O22" s="335">
        <v>0</v>
      </c>
      <c r="P22" s="247"/>
      <c r="Q22" s="1135">
        <v>0</v>
      </c>
      <c r="R22"/>
    </row>
    <row r="23" spans="1:18" ht="15.75" hidden="1">
      <c r="A23" s="246">
        <v>17</v>
      </c>
      <c r="B23" s="1270"/>
      <c r="C23" s="246"/>
      <c r="D23" s="246"/>
      <c r="E23" s="246"/>
      <c r="F23" s="246"/>
      <c r="G23" s="246"/>
      <c r="H23" s="246"/>
      <c r="I23" s="246"/>
      <c r="J23" s="246"/>
      <c r="K23" s="246"/>
      <c r="L23" s="246"/>
      <c r="M23" s="246"/>
      <c r="N23" s="246"/>
      <c r="O23" s="335">
        <v>0</v>
      </c>
      <c r="P23" s="247"/>
      <c r="Q23" s="1135">
        <v>0</v>
      </c>
      <c r="R23"/>
    </row>
    <row r="24" spans="1:18" ht="15.75" hidden="1">
      <c r="A24" s="246">
        <v>18</v>
      </c>
      <c r="B24" s="1270"/>
      <c r="C24" s="246"/>
      <c r="D24" s="246"/>
      <c r="E24" s="246"/>
      <c r="F24" s="246"/>
      <c r="G24" s="246"/>
      <c r="H24" s="246"/>
      <c r="I24" s="246"/>
      <c r="J24" s="246"/>
      <c r="K24" s="246"/>
      <c r="L24" s="246"/>
      <c r="M24" s="246"/>
      <c r="N24" s="246"/>
      <c r="O24" s="335">
        <v>0</v>
      </c>
      <c r="P24" s="247"/>
      <c r="Q24" s="1135">
        <v>0</v>
      </c>
      <c r="R24"/>
    </row>
    <row r="25" spans="1:18" ht="15.75" hidden="1">
      <c r="A25" s="246">
        <v>19</v>
      </c>
      <c r="B25" s="1270"/>
      <c r="C25" s="246"/>
      <c r="D25" s="246"/>
      <c r="E25" s="246"/>
      <c r="F25" s="246"/>
      <c r="G25" s="246"/>
      <c r="H25" s="246"/>
      <c r="I25" s="246"/>
      <c r="J25" s="246"/>
      <c r="K25" s="246"/>
      <c r="L25" s="246"/>
      <c r="M25" s="246"/>
      <c r="N25" s="246"/>
      <c r="O25" s="335">
        <v>0</v>
      </c>
      <c r="P25" s="247"/>
      <c r="Q25" s="1283"/>
      <c r="R25"/>
    </row>
    <row r="26" spans="1:18" ht="15.75">
      <c r="A26" s="246"/>
      <c r="B26" s="2019" t="s">
        <v>183</v>
      </c>
      <c r="C26" s="2019"/>
      <c r="D26" s="2019"/>
      <c r="E26" s="2019"/>
      <c r="F26" s="2019"/>
      <c r="G26" s="2019"/>
      <c r="H26" s="2019"/>
      <c r="I26" s="2019"/>
      <c r="J26" s="2019"/>
      <c r="K26" s="2019"/>
      <c r="L26" s="2019"/>
      <c r="M26" s="2019"/>
      <c r="N26" s="2019"/>
      <c r="O26" s="2019"/>
      <c r="P26" s="2019"/>
      <c r="Q26" s="310">
        <v>85000</v>
      </c>
    </row>
    <row r="28" spans="1:18" s="207" customFormat="1" ht="15.75">
      <c r="B28" s="234" t="s">
        <v>1077</v>
      </c>
      <c r="C28" s="311"/>
      <c r="D28" s="311"/>
      <c r="E28" s="311"/>
      <c r="F28" s="311"/>
      <c r="G28" s="311"/>
      <c r="H28" s="311"/>
      <c r="I28" s="311"/>
      <c r="K28" s="311"/>
      <c r="L28" s="311"/>
      <c r="M28" s="509"/>
      <c r="N28" s="509"/>
      <c r="O28" s="507"/>
      <c r="P28" s="311"/>
      <c r="Q28" s="507" t="s">
        <v>1040</v>
      </c>
    </row>
    <row r="29" spans="1:18" s="207" customFormat="1" ht="31.5" customHeight="1">
      <c r="B29" s="221"/>
      <c r="C29" s="217"/>
      <c r="E29" s="510"/>
      <c r="F29" s="510"/>
      <c r="G29" s="510"/>
      <c r="H29" s="510"/>
      <c r="I29" s="510"/>
      <c r="K29" s="510"/>
      <c r="L29" s="510"/>
      <c r="M29" s="509"/>
      <c r="N29" s="509"/>
      <c r="O29" s="523" t="s">
        <v>1078</v>
      </c>
      <c r="P29" s="524"/>
      <c r="Q29" s="524" t="s">
        <v>1079</v>
      </c>
    </row>
    <row r="30" spans="1:18" s="207" customFormat="1" ht="36" customHeight="1">
      <c r="B30" s="234" t="s">
        <v>1076</v>
      </c>
      <c r="C30" s="311"/>
      <c r="D30" s="311"/>
      <c r="E30" s="311"/>
      <c r="F30" s="311"/>
      <c r="G30" s="311"/>
      <c r="H30" s="311"/>
      <c r="I30" s="311"/>
      <c r="K30" s="311"/>
      <c r="L30" s="311"/>
      <c r="M30" s="509"/>
      <c r="N30" s="509"/>
      <c r="O30" s="529"/>
      <c r="P30" s="528"/>
      <c r="Q30" s="507" t="s">
        <v>1245</v>
      </c>
    </row>
    <row r="31" spans="1:18" s="207" customFormat="1" ht="31.5" customHeight="1">
      <c r="B31" s="221"/>
      <c r="C31" s="217"/>
      <c r="E31" s="510"/>
      <c r="F31" s="510"/>
      <c r="G31" s="510"/>
      <c r="H31" s="510"/>
      <c r="I31" s="510"/>
      <c r="K31" s="510"/>
      <c r="L31" s="510"/>
      <c r="M31" s="509"/>
      <c r="N31" s="509"/>
      <c r="O31" s="523" t="s">
        <v>1078</v>
      </c>
      <c r="P31" s="524"/>
      <c r="Q31" s="524" t="s">
        <v>1079</v>
      </c>
    </row>
    <row r="33" spans="3:3" s="27" customFormat="1">
      <c r="C33" s="73"/>
    </row>
    <row r="34" spans="3:3" s="27" customFormat="1">
      <c r="C34" s="73"/>
    </row>
    <row r="35" spans="3:3" s="27" customFormat="1">
      <c r="C35" s="73"/>
    </row>
  </sheetData>
  <customSheetViews>
    <customSheetView guid="{CA0FB9E2-E541-4C74-BCFE-D75491869B36}" scale="60" showPageBreaks="1" view="pageBreakPreview">
      <selection activeCell="X48" sqref="X48"/>
      <pageMargins left="0.78740157480314965" right="0" top="0.39370078740157483" bottom="0.39370078740157483" header="0.51181102362204722" footer="0.51181102362204722"/>
      <pageSetup paperSize="9" scale="90" orientation="portrait" r:id="rId1"/>
      <headerFooter alignWithMargins="0"/>
    </customSheetView>
    <customSheetView guid="{F10E3D8B-5892-420A-B023-68C6496D556B}">
      <selection activeCell="A2" sqref="A2:Q2"/>
      <pageMargins left="0.78740157480314965" right="0" top="0.39370078740157483" bottom="0.39370078740157483" header="0.51181102362204722" footer="0.51181102362204722"/>
      <pageSetup paperSize="9" scale="95" orientation="portrait" r:id="rId2"/>
      <headerFooter alignWithMargins="0"/>
    </customSheetView>
    <customSheetView guid="{FE7E58EF-FECC-4DF6-BB75-BA97138CB219}">
      <selection activeCell="A2" sqref="A2:Q2"/>
      <pageMargins left="0.78740157480314965" right="0" top="0.39370078740157483" bottom="0.39370078740157483" header="0.51181102362204722" footer="0.51181102362204722"/>
      <pageSetup paperSize="9" scale="95" orientation="portrait" r:id="rId3"/>
      <headerFooter alignWithMargins="0"/>
    </customSheetView>
    <customSheetView guid="{43136B00-66C6-4289-99D3-5EF20611F834}" showPageBreaks="1">
      <selection activeCell="A28" sqref="A28:IV31"/>
      <pageMargins left="0.78740157480314965" right="0" top="0.39370078740157483" bottom="0.39370078740157483" header="0.51181102362204722" footer="0.51181102362204722"/>
      <pageSetup paperSize="9" scale="90" orientation="portrait" r:id="rId4"/>
      <headerFooter alignWithMargins="0"/>
    </customSheetView>
    <customSheetView guid="{22820B9F-10DE-4629-AF3D-4AF98A9BCEDB}" scale="60" showPageBreaks="1" view="pageBreakPreview">
      <selection activeCell="X48" sqref="X48"/>
      <pageMargins left="0.78740157480314965" right="0" top="0.39370078740157483" bottom="0.39370078740157483" header="0.51181102362204722" footer="0.51181102362204722"/>
      <pageSetup paperSize="9" scale="90" orientation="portrait" r:id="rId5"/>
      <headerFooter alignWithMargins="0"/>
    </customSheetView>
  </customSheetViews>
  <mergeCells count="9">
    <mergeCell ref="B26:P26"/>
    <mergeCell ref="A3:Q3"/>
    <mergeCell ref="A5:A6"/>
    <mergeCell ref="B5:B6"/>
    <mergeCell ref="C5:N5"/>
    <mergeCell ref="O5:O6"/>
    <mergeCell ref="P5:P6"/>
    <mergeCell ref="Q5:Q6"/>
    <mergeCell ref="E4:O4"/>
  </mergeCells>
  <phoneticPr fontId="116" type="noConversion"/>
  <pageMargins left="0.78740157480314965" right="0" top="0.39370078740157483" bottom="0.39370078740157483" header="0.51181102362204722" footer="0.51181102362204722"/>
  <pageSetup paperSize="9" scale="82" orientation="portrait" r:id="rId6"/>
  <headerFooter alignWithMargins="0"/>
</worksheet>
</file>

<file path=xl/worksheets/sheet69.xml><?xml version="1.0" encoding="utf-8"?>
<worksheet xmlns="http://schemas.openxmlformats.org/spreadsheetml/2006/main" xmlns:r="http://schemas.openxmlformats.org/officeDocument/2006/relationships">
  <sheetPr>
    <tabColor rgb="FFFF0000"/>
  </sheetPr>
  <dimension ref="A1:H22"/>
  <sheetViews>
    <sheetView view="pageBreakPreview" topLeftCell="A4" zoomScale="91" zoomScaleNormal="100" zoomScaleSheetLayoutView="91" workbookViewId="0">
      <selection activeCell="D6" sqref="A6:D8"/>
    </sheetView>
  </sheetViews>
  <sheetFormatPr defaultRowHeight="15"/>
  <cols>
    <col min="1" max="1" width="4.42578125" style="667" bestFit="1" customWidth="1"/>
    <col min="2" max="2" width="48.28515625" style="667" customWidth="1"/>
    <col min="3" max="3" width="29.42578125" style="667" customWidth="1"/>
    <col min="4" max="4" width="24" style="713" customWidth="1"/>
    <col min="5" max="5" width="14.5703125" style="667" customWidth="1"/>
    <col min="6" max="16384" width="9.140625" style="667"/>
  </cols>
  <sheetData>
    <row r="1" spans="1:7" s="1" customFormat="1" ht="21" customHeight="1">
      <c r="A1" s="2023" t="s">
        <v>1386</v>
      </c>
      <c r="B1" s="2023"/>
      <c r="C1" s="2023"/>
      <c r="D1" s="2023"/>
      <c r="E1" s="2023"/>
      <c r="F1" s="2023"/>
      <c r="G1" s="1385"/>
    </row>
    <row r="2" spans="1:7" s="1" customFormat="1" ht="15.75">
      <c r="A2" s="235"/>
      <c r="B2" s="235"/>
      <c r="C2" s="235"/>
      <c r="D2" s="235"/>
      <c r="E2" s="235"/>
      <c r="F2" s="234"/>
      <c r="G2" s="234"/>
    </row>
    <row r="3" spans="1:7" s="1" customFormat="1" ht="45" customHeight="1">
      <c r="A3" s="1686" t="s">
        <v>771</v>
      </c>
      <c r="B3" s="1808"/>
      <c r="C3" s="1808"/>
      <c r="D3" s="1808"/>
      <c r="E3" s="1384"/>
      <c r="F3" s="1384"/>
      <c r="G3" s="1384"/>
    </row>
    <row r="4" spans="1:7" s="1" customFormat="1" ht="15.75">
      <c r="A4" s="234"/>
      <c r="B4" s="234"/>
      <c r="C4" s="234"/>
      <c r="D4" s="234"/>
      <c r="E4" s="234"/>
      <c r="F4" s="234"/>
      <c r="G4" s="234"/>
    </row>
    <row r="5" spans="1:7" s="1" customFormat="1" ht="15.75">
      <c r="A5" s="669" t="s">
        <v>1787</v>
      </c>
      <c r="B5" s="234"/>
      <c r="C5" s="234"/>
      <c r="D5" s="234"/>
      <c r="E5" s="234"/>
      <c r="F5" s="234"/>
      <c r="G5" s="234"/>
    </row>
    <row r="6" spans="1:7" s="606" customFormat="1" ht="15.75">
      <c r="D6" s="785" t="s">
        <v>956</v>
      </c>
    </row>
    <row r="7" spans="1:7" s="606" customFormat="1" ht="15.75">
      <c r="D7" s="785"/>
    </row>
    <row r="8" spans="1:7" s="606" customFormat="1" ht="33.75" customHeight="1">
      <c r="A8" s="1509" t="s">
        <v>1382</v>
      </c>
      <c r="B8" s="1509"/>
      <c r="C8" s="1509"/>
      <c r="D8" s="1509"/>
    </row>
    <row r="9" spans="1:7" s="606" customFormat="1" ht="33" customHeight="1">
      <c r="A9" s="1845" t="s">
        <v>749</v>
      </c>
      <c r="B9" s="1845"/>
      <c r="C9" s="1845"/>
      <c r="D9" s="1845"/>
    </row>
    <row r="10" spans="1:7" s="795" customFormat="1" ht="31.5">
      <c r="A10" s="268" t="s">
        <v>1267</v>
      </c>
      <c r="B10" s="268" t="s">
        <v>216</v>
      </c>
      <c r="C10" s="318" t="s">
        <v>1718</v>
      </c>
      <c r="D10" s="704" t="s">
        <v>90</v>
      </c>
    </row>
    <row r="11" spans="1:7" s="795" customFormat="1" ht="15.75">
      <c r="A11" s="268">
        <v>1</v>
      </c>
      <c r="B11" s="268">
        <v>2</v>
      </c>
      <c r="C11" s="318">
        <v>3</v>
      </c>
      <c r="D11" s="706">
        <v>4</v>
      </c>
    </row>
    <row r="12" spans="1:7" s="606" customFormat="1" ht="18" customHeight="1">
      <c r="A12" s="707">
        <v>1</v>
      </c>
      <c r="B12" s="796" t="s">
        <v>1802</v>
      </c>
      <c r="C12" s="616" t="s">
        <v>1296</v>
      </c>
      <c r="D12" s="797"/>
    </row>
    <row r="13" spans="1:7" s="606" customFormat="1" ht="33" customHeight="1">
      <c r="A13" s="707">
        <f>A12+1</f>
        <v>2</v>
      </c>
      <c r="B13" s="796" t="s">
        <v>1096</v>
      </c>
      <c r="C13" s="616" t="s">
        <v>1296</v>
      </c>
      <c r="D13" s="797"/>
    </row>
    <row r="14" spans="1:7" s="606" customFormat="1" ht="33" customHeight="1">
      <c r="A14" s="707">
        <f>A13+1</f>
        <v>3</v>
      </c>
      <c r="B14" s="359" t="s">
        <v>772</v>
      </c>
      <c r="C14" s="616" t="s">
        <v>773</v>
      </c>
      <c r="D14" s="709">
        <v>305283</v>
      </c>
    </row>
    <row r="15" spans="1:7" s="606" customFormat="1" ht="15.75">
      <c r="A15" s="1846" t="s">
        <v>183</v>
      </c>
      <c r="B15" s="1847"/>
      <c r="C15" s="1848"/>
      <c r="D15" s="798">
        <f>SUM(D14:D14)</f>
        <v>305283</v>
      </c>
      <c r="F15" s="799"/>
    </row>
    <row r="17" spans="2:8" s="671" customFormat="1" ht="21" customHeight="1">
      <c r="B17" s="669" t="s">
        <v>1077</v>
      </c>
      <c r="C17" s="696"/>
      <c r="D17" s="664" t="s">
        <v>1040</v>
      </c>
      <c r="E17" s="664"/>
      <c r="F17" s="697"/>
      <c r="G17" s="697"/>
      <c r="H17" s="702"/>
    </row>
    <row r="18" spans="2:8" s="671" customFormat="1" ht="23.25" customHeight="1">
      <c r="B18" s="670"/>
      <c r="C18" s="698" t="s">
        <v>1078</v>
      </c>
      <c r="D18" s="800" t="s">
        <v>1079</v>
      </c>
      <c r="E18" s="702"/>
      <c r="F18" s="801"/>
      <c r="G18" s="697"/>
      <c r="H18" s="697"/>
    </row>
    <row r="19" spans="2:8" s="671" customFormat="1" ht="15.75">
      <c r="B19" s="700" t="s">
        <v>1076</v>
      </c>
      <c r="C19" s="670"/>
      <c r="D19" s="696" t="s">
        <v>1245</v>
      </c>
      <c r="E19" s="664"/>
      <c r="F19" s="664"/>
      <c r="G19" s="702"/>
      <c r="H19" s="702"/>
    </row>
    <row r="20" spans="2:8" s="671" customFormat="1" ht="15.75" customHeight="1">
      <c r="B20" s="670"/>
      <c r="C20" s="800" t="s">
        <v>1078</v>
      </c>
      <c r="D20" s="702" t="s">
        <v>1079</v>
      </c>
      <c r="E20" s="702"/>
      <c r="F20" s="801"/>
      <c r="G20" s="697"/>
      <c r="H20" s="697"/>
    </row>
    <row r="21" spans="2:8" s="622" customFormat="1"/>
    <row r="22" spans="2:8" s="622" customFormat="1"/>
  </sheetData>
  <mergeCells count="5">
    <mergeCell ref="A1:F1"/>
    <mergeCell ref="A8:D8"/>
    <mergeCell ref="A9:D9"/>
    <mergeCell ref="A15:C15"/>
    <mergeCell ref="A3:D3"/>
  </mergeCells>
  <phoneticPr fontId="116" type="noConversion"/>
  <pageMargins left="0.98425196850393704" right="0.19685039370078741" top="0.78740157480314965" bottom="0.39370078740157483" header="0.51181102362204722" footer="0.51181102362204722"/>
  <pageSetup paperSize="9" scale="83" orientation="portrait" r:id="rId1"/>
  <headerFooter alignWithMargins="0"/>
</worksheet>
</file>

<file path=xl/worksheets/sheet7.xml><?xml version="1.0" encoding="utf-8"?>
<worksheet xmlns="http://schemas.openxmlformats.org/spreadsheetml/2006/main" xmlns:r="http://schemas.openxmlformats.org/officeDocument/2006/relationships">
  <sheetPr>
    <tabColor rgb="FFFF0000"/>
  </sheetPr>
  <dimension ref="A1:M267"/>
  <sheetViews>
    <sheetView showWhiteSpace="0" view="pageBreakPreview" topLeftCell="B56" zoomScale="69" zoomScaleNormal="60" zoomScaleSheetLayoutView="69" workbookViewId="0">
      <selection activeCell="I84" sqref="I84"/>
    </sheetView>
  </sheetViews>
  <sheetFormatPr defaultColWidth="13.85546875" defaultRowHeight="15.75"/>
  <cols>
    <col min="1" max="1" width="68.85546875" style="606" customWidth="1"/>
    <col min="2" max="5" width="15.7109375" style="606" customWidth="1"/>
    <col min="6" max="6" width="26.85546875" style="606" customWidth="1"/>
    <col min="7" max="7" width="15.7109375" style="606" customWidth="1"/>
    <col min="8" max="10" width="24.42578125" style="606" customWidth="1"/>
    <col min="11" max="12" width="9.140625" style="576" customWidth="1"/>
    <col min="13" max="13" width="40.42578125" style="576" customWidth="1"/>
    <col min="14" max="253" width="9.140625" style="576" customWidth="1"/>
    <col min="254" max="254" width="41" style="576" customWidth="1"/>
    <col min="255" max="255" width="12.5703125" style="576" customWidth="1"/>
    <col min="256" max="16384" width="13.85546875" style="576"/>
  </cols>
  <sheetData>
    <row r="1" spans="1:12">
      <c r="A1" s="610"/>
      <c r="B1" s="603"/>
      <c r="C1" s="603"/>
      <c r="D1" s="603"/>
      <c r="E1" s="603"/>
      <c r="F1" s="603"/>
      <c r="G1" s="603"/>
      <c r="H1" s="603"/>
      <c r="I1" s="1500" t="s">
        <v>1088</v>
      </c>
      <c r="J1" s="1500"/>
      <c r="K1" s="611"/>
      <c r="L1" s="611"/>
    </row>
    <row r="2" spans="1:12" ht="27.4" customHeight="1">
      <c r="A2" s="610"/>
      <c r="B2" s="603"/>
      <c r="C2" s="603"/>
      <c r="D2" s="603"/>
      <c r="E2" s="603"/>
      <c r="F2" s="603"/>
      <c r="G2" s="603"/>
      <c r="H2" s="603"/>
      <c r="I2" s="603"/>
      <c r="J2" s="603"/>
      <c r="K2" s="611"/>
      <c r="L2" s="611"/>
    </row>
    <row r="3" spans="1:12" ht="38.450000000000003" customHeight="1">
      <c r="A3" s="1489" t="s">
        <v>130</v>
      </c>
      <c r="B3" s="1489"/>
      <c r="C3" s="1489"/>
      <c r="D3" s="1489"/>
      <c r="E3" s="1489"/>
      <c r="F3" s="1489"/>
      <c r="G3" s="1489"/>
      <c r="H3" s="1489"/>
      <c r="I3" s="1489"/>
      <c r="J3" s="1489"/>
      <c r="K3" s="612"/>
      <c r="L3" s="612"/>
    </row>
    <row r="4" spans="1:12" ht="15.75" customHeight="1">
      <c r="A4" s="1497" t="s">
        <v>1300</v>
      </c>
      <c r="B4" s="1497" t="s">
        <v>709</v>
      </c>
      <c r="C4" s="1497" t="s">
        <v>710</v>
      </c>
      <c r="D4" s="1497" t="s">
        <v>711</v>
      </c>
      <c r="E4" s="1497" t="s">
        <v>1264</v>
      </c>
      <c r="F4" s="1497" t="s">
        <v>1586</v>
      </c>
      <c r="G4" s="1497" t="s">
        <v>189</v>
      </c>
      <c r="H4" s="1498" t="s">
        <v>1086</v>
      </c>
      <c r="I4" s="1499"/>
      <c r="J4" s="1499"/>
      <c r="K4" s="611"/>
      <c r="L4" s="611"/>
    </row>
    <row r="5" spans="1:12" ht="15">
      <c r="A5" s="1497"/>
      <c r="B5" s="1497"/>
      <c r="C5" s="1497"/>
      <c r="D5" s="1497"/>
      <c r="E5" s="1497"/>
      <c r="F5" s="1497"/>
      <c r="G5" s="1497"/>
      <c r="H5" s="1493" t="s">
        <v>1941</v>
      </c>
      <c r="I5" s="1493" t="s">
        <v>1942</v>
      </c>
      <c r="J5" s="1493" t="s">
        <v>1943</v>
      </c>
      <c r="K5" s="613"/>
      <c r="L5" s="611"/>
    </row>
    <row r="6" spans="1:12" ht="45.75" customHeight="1">
      <c r="A6" s="1497"/>
      <c r="B6" s="1497"/>
      <c r="C6" s="1497"/>
      <c r="D6" s="1497"/>
      <c r="E6" s="1497"/>
      <c r="F6" s="1497"/>
      <c r="G6" s="1497"/>
      <c r="H6" s="1493"/>
      <c r="I6" s="1493"/>
      <c r="J6" s="1493"/>
      <c r="K6" s="613"/>
      <c r="L6" s="611"/>
    </row>
    <row r="7" spans="1:12" ht="0.75" customHeight="1">
      <c r="A7" s="1497"/>
      <c r="B7" s="1497"/>
      <c r="C7" s="1497"/>
      <c r="D7" s="1497"/>
      <c r="E7" s="1497"/>
      <c r="F7" s="1497"/>
      <c r="G7" s="1497"/>
      <c r="H7" s="1493"/>
      <c r="I7" s="1493"/>
      <c r="J7" s="1493"/>
      <c r="K7" s="613"/>
      <c r="L7" s="611"/>
    </row>
    <row r="8" spans="1:12">
      <c r="A8" s="268">
        <v>1</v>
      </c>
      <c r="B8" s="268">
        <v>2</v>
      </c>
      <c r="C8" s="268">
        <v>3</v>
      </c>
      <c r="D8" s="268">
        <v>4</v>
      </c>
      <c r="E8" s="268">
        <v>5</v>
      </c>
      <c r="F8" s="268">
        <v>6</v>
      </c>
      <c r="G8" s="268"/>
      <c r="H8" s="268">
        <v>8</v>
      </c>
      <c r="I8" s="268">
        <v>9</v>
      </c>
      <c r="J8" s="268">
        <v>10</v>
      </c>
      <c r="K8" s="611"/>
      <c r="L8" s="611"/>
    </row>
    <row r="9" spans="1:12">
      <c r="A9" s="1328" t="s">
        <v>830</v>
      </c>
      <c r="B9" s="1387">
        <v>100</v>
      </c>
      <c r="C9" s="1387" t="s">
        <v>712</v>
      </c>
      <c r="D9" s="1387" t="s">
        <v>712</v>
      </c>
      <c r="E9" s="1387" t="s">
        <v>712</v>
      </c>
      <c r="F9" s="1387" t="s">
        <v>712</v>
      </c>
      <c r="G9" s="1387" t="s">
        <v>712</v>
      </c>
      <c r="H9" s="1329">
        <f>H28+H29+H30+H11+H31</f>
        <v>32471353.73</v>
      </c>
      <c r="I9" s="1329">
        <f>I28+I29+I30+I11</f>
        <v>31952541.690000001</v>
      </c>
      <c r="J9" s="1329">
        <f>J28+J29+J30+J11</f>
        <v>31952541.690000001</v>
      </c>
      <c r="K9" s="575"/>
      <c r="L9" s="575"/>
    </row>
    <row r="10" spans="1:12">
      <c r="A10" s="1330" t="s">
        <v>1295</v>
      </c>
      <c r="B10" s="268"/>
      <c r="C10" s="268"/>
      <c r="D10" s="268"/>
      <c r="E10" s="268"/>
      <c r="F10" s="268"/>
      <c r="G10" s="268"/>
      <c r="H10" s="574"/>
      <c r="I10" s="574"/>
      <c r="J10" s="574"/>
      <c r="K10" s="575"/>
      <c r="L10" s="575"/>
    </row>
    <row r="11" spans="1:12" ht="47.25" hidden="1">
      <c r="A11" s="1330" t="s">
        <v>147</v>
      </c>
      <c r="B11" s="1494">
        <v>110</v>
      </c>
      <c r="C11" s="268" t="s">
        <v>712</v>
      </c>
      <c r="D11" s="268" t="s">
        <v>712</v>
      </c>
      <c r="E11" s="268" t="s">
        <v>712</v>
      </c>
      <c r="F11" s="268" t="s">
        <v>712</v>
      </c>
      <c r="G11" s="268"/>
      <c r="H11" s="574">
        <f>H19+H26</f>
        <v>0</v>
      </c>
      <c r="I11" s="574">
        <f>I19+I26</f>
        <v>0</v>
      </c>
      <c r="J11" s="574">
        <f>J19+J26</f>
        <v>0</v>
      </c>
      <c r="K11" s="575"/>
      <c r="L11" s="575"/>
    </row>
    <row r="12" spans="1:12" hidden="1">
      <c r="A12" s="1330" t="s">
        <v>703</v>
      </c>
      <c r="B12" s="1495"/>
      <c r="C12" s="268"/>
      <c r="D12" s="268"/>
      <c r="E12" s="268"/>
      <c r="F12" s="268"/>
      <c r="G12" s="268"/>
      <c r="H12" s="574"/>
      <c r="I12" s="574"/>
      <c r="J12" s="574"/>
      <c r="K12" s="575"/>
      <c r="L12" s="575"/>
    </row>
    <row r="13" spans="1:12" hidden="1">
      <c r="A13" s="1331" t="s">
        <v>831</v>
      </c>
      <c r="B13" s="1495"/>
      <c r="C13" s="268" t="s">
        <v>712</v>
      </c>
      <c r="D13" s="268" t="s">
        <v>712</v>
      </c>
      <c r="E13" s="268" t="s">
        <v>712</v>
      </c>
      <c r="F13" s="268" t="s">
        <v>712</v>
      </c>
      <c r="G13" s="268"/>
      <c r="H13" s="574"/>
      <c r="I13" s="574"/>
      <c r="J13" s="574"/>
      <c r="K13" s="575"/>
      <c r="L13" s="575"/>
    </row>
    <row r="14" spans="1:12" ht="47.25" hidden="1">
      <c r="A14" s="1331" t="s">
        <v>149</v>
      </c>
      <c r="B14" s="1495"/>
      <c r="C14" s="268" t="s">
        <v>712</v>
      </c>
      <c r="D14" s="268" t="s">
        <v>712</v>
      </c>
      <c r="E14" s="268" t="s">
        <v>712</v>
      </c>
      <c r="F14" s="268" t="s">
        <v>712</v>
      </c>
      <c r="G14" s="268"/>
      <c r="H14" s="574"/>
      <c r="I14" s="574"/>
      <c r="J14" s="574"/>
      <c r="K14" s="575"/>
      <c r="L14" s="575"/>
    </row>
    <row r="15" spans="1:12" hidden="1">
      <c r="A15" s="1330" t="s">
        <v>703</v>
      </c>
      <c r="B15" s="1495"/>
      <c r="C15" s="268"/>
      <c r="D15" s="268"/>
      <c r="E15" s="268"/>
      <c r="F15" s="268"/>
      <c r="G15" s="268"/>
      <c r="H15" s="574"/>
      <c r="I15" s="574"/>
      <c r="J15" s="574"/>
      <c r="K15" s="575"/>
      <c r="L15" s="575"/>
    </row>
    <row r="16" spans="1:12" hidden="1">
      <c r="A16" s="1331" t="s">
        <v>144</v>
      </c>
      <c r="B16" s="1495"/>
      <c r="C16" s="268" t="s">
        <v>712</v>
      </c>
      <c r="D16" s="268" t="s">
        <v>712</v>
      </c>
      <c r="E16" s="268" t="s">
        <v>712</v>
      </c>
      <c r="F16" s="268" t="s">
        <v>712</v>
      </c>
      <c r="G16" s="268"/>
      <c r="H16" s="574"/>
      <c r="I16" s="574"/>
      <c r="J16" s="574"/>
      <c r="K16" s="575"/>
      <c r="L16" s="575"/>
    </row>
    <row r="17" spans="1:12" hidden="1">
      <c r="A17" s="1331" t="s">
        <v>145</v>
      </c>
      <c r="B17" s="1495"/>
      <c r="C17" s="268" t="s">
        <v>712</v>
      </c>
      <c r="D17" s="268" t="s">
        <v>712</v>
      </c>
      <c r="E17" s="268" t="s">
        <v>712</v>
      </c>
      <c r="F17" s="268" t="s">
        <v>712</v>
      </c>
      <c r="G17" s="268"/>
      <c r="H17" s="574"/>
      <c r="I17" s="574"/>
      <c r="J17" s="574"/>
      <c r="K17" s="575"/>
      <c r="L17" s="575"/>
    </row>
    <row r="18" spans="1:12" hidden="1">
      <c r="A18" s="1331" t="s">
        <v>1842</v>
      </c>
      <c r="B18" s="1495"/>
      <c r="C18" s="268" t="s">
        <v>712</v>
      </c>
      <c r="D18" s="268" t="s">
        <v>712</v>
      </c>
      <c r="E18" s="268" t="s">
        <v>712</v>
      </c>
      <c r="F18" s="268" t="s">
        <v>712</v>
      </c>
      <c r="G18" s="268"/>
      <c r="H18" s="574"/>
      <c r="I18" s="574"/>
      <c r="J18" s="574"/>
      <c r="K18" s="575"/>
      <c r="L18" s="575"/>
    </row>
    <row r="19" spans="1:12" hidden="1">
      <c r="A19" s="1330" t="s">
        <v>1084</v>
      </c>
      <c r="B19" s="1495"/>
      <c r="C19" s="268" t="s">
        <v>712</v>
      </c>
      <c r="D19" s="268" t="s">
        <v>712</v>
      </c>
      <c r="E19" s="268" t="s">
        <v>712</v>
      </c>
      <c r="F19" s="268" t="s">
        <v>712</v>
      </c>
      <c r="G19" s="268"/>
      <c r="H19" s="574">
        <f>H21</f>
        <v>0</v>
      </c>
      <c r="I19" s="574">
        <f>I21</f>
        <v>0</v>
      </c>
      <c r="J19" s="574">
        <f>J21</f>
        <v>0</v>
      </c>
      <c r="K19" s="575"/>
      <c r="L19" s="575"/>
    </row>
    <row r="20" spans="1:12" hidden="1">
      <c r="A20" s="1330" t="s">
        <v>703</v>
      </c>
      <c r="B20" s="1495"/>
      <c r="C20" s="268"/>
      <c r="D20" s="268"/>
      <c r="E20" s="268"/>
      <c r="F20" s="268"/>
      <c r="G20" s="268"/>
      <c r="H20" s="574"/>
      <c r="I20" s="574"/>
      <c r="J20" s="574"/>
      <c r="K20" s="575"/>
      <c r="L20" s="575"/>
    </row>
    <row r="21" spans="1:12" ht="27.4" hidden="1" customHeight="1">
      <c r="A21" s="1331" t="s">
        <v>1147</v>
      </c>
      <c r="B21" s="1495"/>
      <c r="C21" s="268" t="s">
        <v>712</v>
      </c>
      <c r="D21" s="268" t="s">
        <v>712</v>
      </c>
      <c r="E21" s="268" t="s">
        <v>712</v>
      </c>
      <c r="F21" s="268" t="s">
        <v>712</v>
      </c>
      <c r="G21" s="268">
        <v>180</v>
      </c>
      <c r="H21" s="574"/>
      <c r="I21" s="574"/>
      <c r="J21" s="574"/>
      <c r="K21" s="575"/>
      <c r="L21" s="575"/>
    </row>
    <row r="22" spans="1:12" hidden="1">
      <c r="A22" s="1331" t="s">
        <v>146</v>
      </c>
      <c r="B22" s="1495"/>
      <c r="C22" s="268" t="s">
        <v>712</v>
      </c>
      <c r="D22" s="268" t="s">
        <v>712</v>
      </c>
      <c r="E22" s="268" t="s">
        <v>712</v>
      </c>
      <c r="F22" s="268" t="s">
        <v>712</v>
      </c>
      <c r="G22" s="268"/>
      <c r="H22" s="574"/>
      <c r="I22" s="574"/>
      <c r="J22" s="574"/>
      <c r="K22" s="575"/>
      <c r="L22" s="575"/>
    </row>
    <row r="23" spans="1:12" hidden="1">
      <c r="A23" s="1331" t="s">
        <v>1085</v>
      </c>
      <c r="B23" s="1495"/>
      <c r="C23" s="268" t="s">
        <v>712</v>
      </c>
      <c r="D23" s="268" t="s">
        <v>712</v>
      </c>
      <c r="E23" s="268" t="s">
        <v>712</v>
      </c>
      <c r="F23" s="268" t="s">
        <v>712</v>
      </c>
      <c r="G23" s="268"/>
      <c r="H23" s="574"/>
      <c r="I23" s="574"/>
      <c r="J23" s="574"/>
      <c r="K23" s="575"/>
      <c r="L23" s="575"/>
    </row>
    <row r="24" spans="1:12" hidden="1">
      <c r="A24" s="1331" t="s">
        <v>1842</v>
      </c>
      <c r="B24" s="1495"/>
      <c r="C24" s="268" t="s">
        <v>712</v>
      </c>
      <c r="D24" s="268" t="s">
        <v>712</v>
      </c>
      <c r="E24" s="268" t="s">
        <v>712</v>
      </c>
      <c r="F24" s="268" t="s">
        <v>712</v>
      </c>
      <c r="G24" s="268"/>
      <c r="H24" s="574"/>
      <c r="I24" s="574"/>
      <c r="J24" s="574"/>
      <c r="K24" s="575"/>
      <c r="L24" s="575"/>
    </row>
    <row r="25" spans="1:12" hidden="1">
      <c r="A25" s="1330" t="s">
        <v>713</v>
      </c>
      <c r="B25" s="1495"/>
      <c r="C25" s="268" t="s">
        <v>712</v>
      </c>
      <c r="D25" s="268" t="s">
        <v>712</v>
      </c>
      <c r="E25" s="268" t="s">
        <v>712</v>
      </c>
      <c r="F25" s="268" t="s">
        <v>712</v>
      </c>
      <c r="G25" s="268"/>
      <c r="H25" s="574"/>
      <c r="I25" s="574"/>
      <c r="J25" s="574"/>
      <c r="K25" s="575"/>
      <c r="L25" s="575"/>
    </row>
    <row r="26" spans="1:12" hidden="1">
      <c r="A26" s="1330" t="s">
        <v>1148</v>
      </c>
      <c r="B26" s="1496"/>
      <c r="C26" s="268" t="s">
        <v>712</v>
      </c>
      <c r="D26" s="268" t="s">
        <v>712</v>
      </c>
      <c r="E26" s="268" t="s">
        <v>712</v>
      </c>
      <c r="F26" s="268" t="s">
        <v>712</v>
      </c>
      <c r="G26" s="268">
        <v>440</v>
      </c>
      <c r="H26" s="574"/>
      <c r="I26" s="574"/>
      <c r="J26" s="574"/>
      <c r="K26" s="575"/>
      <c r="L26" s="575"/>
    </row>
    <row r="27" spans="1:12" hidden="1">
      <c r="A27" s="1330" t="s">
        <v>142</v>
      </c>
      <c r="B27" s="1388">
        <v>115</v>
      </c>
      <c r="C27" s="268" t="s">
        <v>712</v>
      </c>
      <c r="D27" s="268" t="s">
        <v>712</v>
      </c>
      <c r="E27" s="268" t="s">
        <v>712</v>
      </c>
      <c r="F27" s="268" t="s">
        <v>712</v>
      </c>
      <c r="G27" s="268"/>
      <c r="H27" s="574"/>
      <c r="I27" s="574"/>
      <c r="J27" s="574"/>
      <c r="K27" s="575"/>
      <c r="L27" s="575"/>
    </row>
    <row r="28" spans="1:12">
      <c r="A28" s="1332" t="s">
        <v>143</v>
      </c>
      <c r="B28" s="1388">
        <v>120</v>
      </c>
      <c r="C28" s="268" t="s">
        <v>712</v>
      </c>
      <c r="D28" s="268" t="s">
        <v>712</v>
      </c>
      <c r="E28" s="268" t="s">
        <v>712</v>
      </c>
      <c r="F28" s="268" t="s">
        <v>1052</v>
      </c>
      <c r="G28" s="268">
        <v>130</v>
      </c>
      <c r="H28" s="574">
        <v>31600573.73</v>
      </c>
      <c r="I28" s="574">
        <v>31867541.690000001</v>
      </c>
      <c r="J28" s="574">
        <v>31867541.690000001</v>
      </c>
      <c r="K28" s="575"/>
      <c r="L28" s="575"/>
    </row>
    <row r="29" spans="1:12" ht="15.75" customHeight="1">
      <c r="A29" s="1330" t="s">
        <v>1132</v>
      </c>
      <c r="B29" s="268">
        <v>130</v>
      </c>
      <c r="C29" s="268" t="s">
        <v>712</v>
      </c>
      <c r="D29" s="268" t="s">
        <v>712</v>
      </c>
      <c r="E29" s="268" t="s">
        <v>712</v>
      </c>
      <c r="F29" s="268" t="s">
        <v>1053</v>
      </c>
      <c r="G29" s="268">
        <v>180</v>
      </c>
      <c r="H29" s="574">
        <v>172372</v>
      </c>
      <c r="I29" s="574">
        <v>85000</v>
      </c>
      <c r="J29" s="574">
        <v>85000</v>
      </c>
      <c r="K29" s="575"/>
      <c r="L29" s="575"/>
    </row>
    <row r="30" spans="1:12" ht="19.5" customHeight="1">
      <c r="A30" s="1330" t="s">
        <v>1133</v>
      </c>
      <c r="B30" s="268">
        <v>130</v>
      </c>
      <c r="C30" s="268" t="s">
        <v>712</v>
      </c>
      <c r="D30" s="268" t="s">
        <v>712</v>
      </c>
      <c r="E30" s="268" t="s">
        <v>712</v>
      </c>
      <c r="F30" s="268" t="s">
        <v>1054</v>
      </c>
      <c r="G30" s="268">
        <v>180</v>
      </c>
      <c r="H30" s="574">
        <v>305283</v>
      </c>
      <c r="I30" s="574">
        <v>0</v>
      </c>
      <c r="J30" s="574">
        <v>0</v>
      </c>
      <c r="K30" s="575"/>
      <c r="L30" s="575"/>
    </row>
    <row r="31" spans="1:12" ht="19.5" customHeight="1">
      <c r="A31" s="1330" t="s">
        <v>1133</v>
      </c>
      <c r="B31" s="268">
        <v>130</v>
      </c>
      <c r="C31" s="268" t="s">
        <v>712</v>
      </c>
      <c r="D31" s="268" t="s">
        <v>712</v>
      </c>
      <c r="E31" s="268" t="s">
        <v>712</v>
      </c>
      <c r="F31" s="268" t="s">
        <v>779</v>
      </c>
      <c r="G31" s="268">
        <v>180</v>
      </c>
      <c r="H31" s="574">
        <v>393125</v>
      </c>
      <c r="I31" s="574">
        <v>0</v>
      </c>
      <c r="J31" s="574">
        <v>0</v>
      </c>
      <c r="K31" s="575"/>
      <c r="L31" s="575"/>
    </row>
    <row r="32" spans="1:12">
      <c r="A32" s="1333" t="s">
        <v>148</v>
      </c>
      <c r="B32" s="268">
        <v>140</v>
      </c>
      <c r="C32" s="268" t="s">
        <v>712</v>
      </c>
      <c r="D32" s="268" t="s">
        <v>712</v>
      </c>
      <c r="E32" s="268" t="s">
        <v>712</v>
      </c>
      <c r="F32" s="268"/>
      <c r="G32" s="268"/>
      <c r="H32" s="574"/>
      <c r="I32" s="574"/>
      <c r="J32" s="574"/>
      <c r="K32" s="575"/>
      <c r="L32" s="575"/>
    </row>
    <row r="33" spans="1:12">
      <c r="A33" s="1334" t="s">
        <v>714</v>
      </c>
      <c r="B33" s="268">
        <v>200</v>
      </c>
      <c r="C33" s="268" t="s">
        <v>712</v>
      </c>
      <c r="D33" s="268" t="s">
        <v>712</v>
      </c>
      <c r="E33" s="268" t="s">
        <v>712</v>
      </c>
      <c r="F33" s="268" t="s">
        <v>712</v>
      </c>
      <c r="G33" s="268" t="s">
        <v>712</v>
      </c>
      <c r="H33" s="1335">
        <f>H35+H84+H118+H197+H152</f>
        <v>32471353.729999997</v>
      </c>
      <c r="I33" s="1335">
        <f>I35+I84+I118+I197+I152</f>
        <v>31952541.689999998</v>
      </c>
      <c r="J33" s="1335">
        <f>J35+J84+J118+J197+J152</f>
        <v>31952541.689999998</v>
      </c>
      <c r="K33" s="575"/>
      <c r="L33" s="575"/>
    </row>
    <row r="34" spans="1:12">
      <c r="A34" s="1330" t="s">
        <v>1295</v>
      </c>
      <c r="B34" s="1386"/>
      <c r="C34" s="268"/>
      <c r="D34" s="268"/>
      <c r="E34" s="268"/>
      <c r="F34" s="268"/>
      <c r="G34" s="268"/>
      <c r="H34" s="574"/>
      <c r="I34" s="574"/>
      <c r="J34" s="574"/>
      <c r="K34" s="575"/>
      <c r="L34" s="575"/>
    </row>
    <row r="35" spans="1:12">
      <c r="A35" s="1332" t="s">
        <v>143</v>
      </c>
      <c r="B35" s="1336"/>
      <c r="C35" s="268" t="s">
        <v>712</v>
      </c>
      <c r="D35" s="268" t="s">
        <v>712</v>
      </c>
      <c r="E35" s="268" t="s">
        <v>712</v>
      </c>
      <c r="F35" s="268" t="s">
        <v>1052</v>
      </c>
      <c r="G35" s="268" t="s">
        <v>712</v>
      </c>
      <c r="H35" s="574">
        <f>H37+H55+H65</f>
        <v>31600573.729999997</v>
      </c>
      <c r="I35" s="574">
        <f>I37+I55+I65</f>
        <v>31867541.689999998</v>
      </c>
      <c r="J35" s="574">
        <f>J37+J55+J65</f>
        <v>31867541.689999998</v>
      </c>
      <c r="K35" s="575"/>
      <c r="L35" s="575"/>
    </row>
    <row r="36" spans="1:12">
      <c r="A36" s="1330" t="s">
        <v>703</v>
      </c>
      <c r="B36" s="1336"/>
      <c r="C36" s="268"/>
      <c r="D36" s="268"/>
      <c r="E36" s="268"/>
      <c r="F36" s="268"/>
      <c r="G36" s="268"/>
      <c r="H36" s="574"/>
      <c r="I36" s="574"/>
      <c r="J36" s="574"/>
      <c r="K36" s="575"/>
      <c r="L36" s="575"/>
    </row>
    <row r="37" spans="1:12">
      <c r="A37" s="1330" t="s">
        <v>161</v>
      </c>
      <c r="B37" s="1490">
        <v>210</v>
      </c>
      <c r="C37" s="306" t="s">
        <v>1368</v>
      </c>
      <c r="D37" s="306" t="s">
        <v>1369</v>
      </c>
      <c r="E37" s="268">
        <v>110</v>
      </c>
      <c r="F37" s="268" t="s">
        <v>1052</v>
      </c>
      <c r="G37" s="268">
        <v>210</v>
      </c>
      <c r="H37" s="574">
        <f>H39+H42+H43+H44+H45+H46+H47</f>
        <v>22543095.149999999</v>
      </c>
      <c r="I37" s="574">
        <f>I39+I42+I43+I44+I45+I46+I47</f>
        <v>22542510.149999999</v>
      </c>
      <c r="J37" s="574">
        <f>J39+J42+J43+J44+J45+J46+J47</f>
        <v>22542510.149999999</v>
      </c>
      <c r="K37" s="575"/>
      <c r="L37" s="575"/>
    </row>
    <row r="38" spans="1:12">
      <c r="A38" s="1337" t="s">
        <v>703</v>
      </c>
      <c r="B38" s="1491"/>
      <c r="C38" s="306"/>
      <c r="D38" s="306"/>
      <c r="E38" s="268"/>
      <c r="F38" s="268"/>
      <c r="G38" s="268"/>
      <c r="H38" s="574"/>
      <c r="I38" s="574"/>
      <c r="J38" s="574"/>
      <c r="K38" s="575"/>
      <c r="L38" s="575"/>
    </row>
    <row r="39" spans="1:12">
      <c r="A39" s="1337" t="s">
        <v>159</v>
      </c>
      <c r="B39" s="1491"/>
      <c r="C39" s="306" t="s">
        <v>1368</v>
      </c>
      <c r="D39" s="306" t="s">
        <v>1369</v>
      </c>
      <c r="E39" s="268">
        <v>111</v>
      </c>
      <c r="F39" s="268" t="s">
        <v>1052</v>
      </c>
      <c r="G39" s="268">
        <v>211</v>
      </c>
      <c r="H39" s="574">
        <f ca="1">'ВР211(т.2.1) штат. 01.01.18'!P149</f>
        <v>17313755.879999999</v>
      </c>
      <c r="I39" s="574">
        <f ca="1">'ВР211(т.2.1) штат. 01.01.18'!P149</f>
        <v>17313755.879999999</v>
      </c>
      <c r="J39" s="574">
        <f ca="1">'ВР211(т.2.1) штат. 01.01.18'!P149</f>
        <v>17313755.879999999</v>
      </c>
      <c r="K39" s="575"/>
      <c r="L39" s="575"/>
    </row>
    <row r="40" spans="1:12">
      <c r="A40" s="1337" t="s">
        <v>703</v>
      </c>
      <c r="B40" s="1491"/>
      <c r="C40" s="306"/>
      <c r="D40" s="306"/>
      <c r="E40" s="268"/>
      <c r="F40" s="268"/>
      <c r="G40" s="268"/>
      <c r="H40" s="574"/>
      <c r="I40" s="574"/>
      <c r="J40" s="574"/>
      <c r="K40" s="575"/>
      <c r="L40" s="575"/>
    </row>
    <row r="41" spans="1:12">
      <c r="A41" s="1337" t="s">
        <v>944</v>
      </c>
      <c r="B41" s="1491"/>
      <c r="C41" s="306" t="s">
        <v>1368</v>
      </c>
      <c r="D41" s="306" t="s">
        <v>1369</v>
      </c>
      <c r="E41" s="268">
        <v>111</v>
      </c>
      <c r="F41" s="268" t="s">
        <v>1052</v>
      </c>
      <c r="G41" s="268">
        <v>211</v>
      </c>
      <c r="H41" s="574">
        <v>187402.92</v>
      </c>
      <c r="I41" s="574">
        <v>187402.92</v>
      </c>
      <c r="J41" s="574">
        <v>187402.92</v>
      </c>
      <c r="K41" s="575"/>
      <c r="L41" s="575"/>
    </row>
    <row r="42" spans="1:12" ht="31.5">
      <c r="A42" s="1337" t="s">
        <v>0</v>
      </c>
      <c r="B42" s="1491"/>
      <c r="C42" s="306" t="s">
        <v>1368</v>
      </c>
      <c r="D42" s="306" t="s">
        <v>1369</v>
      </c>
      <c r="E42" s="268">
        <v>112</v>
      </c>
      <c r="F42" s="268" t="s">
        <v>1052</v>
      </c>
      <c r="G42" s="268">
        <v>212</v>
      </c>
      <c r="H42" s="574">
        <f ca="1">'212 пособие ( 2018) '!F7:F7</f>
        <v>585</v>
      </c>
      <c r="I42" s="574">
        <f ca="1">'212 пособие ( 2019-20)'!F15</f>
        <v>0</v>
      </c>
      <c r="J42" s="574">
        <f ca="1">'212 пособие ( 2019-20)'!F15</f>
        <v>0</v>
      </c>
      <c r="K42" s="575"/>
      <c r="L42" s="575"/>
    </row>
    <row r="43" spans="1:12" ht="31.5" hidden="1">
      <c r="A43" s="1337" t="s">
        <v>0</v>
      </c>
      <c r="B43" s="1491"/>
      <c r="C43" s="306" t="s">
        <v>1368</v>
      </c>
      <c r="D43" s="306" t="s">
        <v>1369</v>
      </c>
      <c r="E43" s="268">
        <v>112</v>
      </c>
      <c r="F43" s="268" t="s">
        <v>1052</v>
      </c>
      <c r="G43" s="268">
        <v>222</v>
      </c>
      <c r="H43" s="574"/>
      <c r="I43" s="574"/>
      <c r="J43" s="574"/>
      <c r="K43" s="575"/>
      <c r="L43" s="575"/>
    </row>
    <row r="44" spans="1:12" ht="31.5" hidden="1">
      <c r="A44" s="1337" t="s">
        <v>0</v>
      </c>
      <c r="B44" s="1491"/>
      <c r="C44" s="306" t="s">
        <v>1368</v>
      </c>
      <c r="D44" s="306" t="s">
        <v>1369</v>
      </c>
      <c r="E44" s="268">
        <v>112</v>
      </c>
      <c r="F44" s="268" t="s">
        <v>1052</v>
      </c>
      <c r="G44" s="268">
        <v>262</v>
      </c>
      <c r="H44" s="574"/>
      <c r="I44" s="574"/>
      <c r="J44" s="574"/>
      <c r="K44" s="575"/>
      <c r="L44" s="575"/>
    </row>
    <row r="45" spans="1:12" ht="31.5" hidden="1">
      <c r="A45" s="1337" t="s">
        <v>0</v>
      </c>
      <c r="B45" s="1491"/>
      <c r="C45" s="306" t="s">
        <v>1368</v>
      </c>
      <c r="D45" s="306" t="s">
        <v>1369</v>
      </c>
      <c r="E45" s="268">
        <v>112</v>
      </c>
      <c r="F45" s="268" t="s">
        <v>1052</v>
      </c>
      <c r="G45" s="268">
        <v>290</v>
      </c>
      <c r="H45" s="574"/>
      <c r="I45" s="574"/>
      <c r="J45" s="574"/>
      <c r="K45" s="575"/>
      <c r="L45" s="575"/>
    </row>
    <row r="46" spans="1:12" ht="47.25">
      <c r="A46" s="1337" t="s">
        <v>715</v>
      </c>
      <c r="B46" s="1491"/>
      <c r="C46" s="306" t="s">
        <v>1368</v>
      </c>
      <c r="D46" s="306" t="s">
        <v>1369</v>
      </c>
      <c r="E46" s="268">
        <v>119</v>
      </c>
      <c r="F46" s="268" t="s">
        <v>1052</v>
      </c>
      <c r="G46" s="268">
        <v>213</v>
      </c>
      <c r="H46" s="574">
        <f ca="1">'213 '!D31</f>
        <v>5228754.2699999996</v>
      </c>
      <c r="I46" s="574">
        <f ca="1">'213 '!D31</f>
        <v>5228754.2699999996</v>
      </c>
      <c r="J46" s="574">
        <f ca="1">'213 '!D31</f>
        <v>5228754.2699999996</v>
      </c>
      <c r="K46" s="575"/>
      <c r="L46" s="575"/>
    </row>
    <row r="47" spans="1:12" ht="31.5" hidden="1">
      <c r="A47" s="1337" t="s">
        <v>160</v>
      </c>
      <c r="B47" s="1492"/>
      <c r="C47" s="306" t="s">
        <v>1368</v>
      </c>
      <c r="D47" s="306" t="s">
        <v>1369</v>
      </c>
      <c r="E47" s="268">
        <v>119</v>
      </c>
      <c r="F47" s="268" t="s">
        <v>1052</v>
      </c>
      <c r="G47" s="268">
        <v>262</v>
      </c>
      <c r="H47" s="574"/>
      <c r="I47" s="574"/>
      <c r="J47" s="574"/>
      <c r="K47" s="575"/>
      <c r="L47" s="575"/>
    </row>
    <row r="48" spans="1:12" ht="31.5" hidden="1">
      <c r="A48" s="1330" t="s">
        <v>1</v>
      </c>
      <c r="B48" s="1493">
        <v>220</v>
      </c>
      <c r="C48" s="306" t="s">
        <v>1368</v>
      </c>
      <c r="D48" s="306" t="s">
        <v>1369</v>
      </c>
      <c r="E48" s="268">
        <v>320</v>
      </c>
      <c r="F48" s="268" t="s">
        <v>1052</v>
      </c>
      <c r="G48" s="268"/>
      <c r="H48" s="574"/>
      <c r="I48" s="574"/>
      <c r="J48" s="574"/>
      <c r="K48" s="575"/>
      <c r="L48" s="575"/>
    </row>
    <row r="49" spans="1:12" hidden="1">
      <c r="A49" s="1337" t="s">
        <v>703</v>
      </c>
      <c r="B49" s="1493"/>
      <c r="C49" s="306"/>
      <c r="D49" s="306"/>
      <c r="E49" s="268"/>
      <c r="F49" s="268"/>
      <c r="G49" s="268"/>
      <c r="H49" s="574"/>
      <c r="I49" s="574"/>
      <c r="J49" s="574"/>
      <c r="K49" s="575"/>
      <c r="L49" s="575"/>
    </row>
    <row r="50" spans="1:12" ht="31.5" hidden="1">
      <c r="A50" s="1330" t="s">
        <v>1917</v>
      </c>
      <c r="B50" s="1493"/>
      <c r="C50" s="306" t="s">
        <v>1368</v>
      </c>
      <c r="D50" s="306" t="s">
        <v>1369</v>
      </c>
      <c r="E50" s="268">
        <v>321</v>
      </c>
      <c r="F50" s="268" t="s">
        <v>1052</v>
      </c>
      <c r="G50" s="268">
        <v>262</v>
      </c>
      <c r="H50" s="574"/>
      <c r="I50" s="574"/>
      <c r="J50" s="574"/>
      <c r="K50" s="575"/>
      <c r="L50" s="575"/>
    </row>
    <row r="51" spans="1:12" ht="31.5" hidden="1">
      <c r="A51" s="1330" t="s">
        <v>828</v>
      </c>
      <c r="B51" s="1493"/>
      <c r="C51" s="306" t="s">
        <v>1368</v>
      </c>
      <c r="D51" s="306" t="s">
        <v>1369</v>
      </c>
      <c r="E51" s="268">
        <v>323</v>
      </c>
      <c r="F51" s="268" t="s">
        <v>1052</v>
      </c>
      <c r="G51" s="268">
        <v>262</v>
      </c>
      <c r="H51" s="574"/>
      <c r="I51" s="574"/>
      <c r="J51" s="574"/>
      <c r="K51" s="575"/>
      <c r="L51" s="575"/>
    </row>
    <row r="52" spans="1:12" hidden="1">
      <c r="A52" s="1330" t="s">
        <v>2</v>
      </c>
      <c r="B52" s="1493">
        <v>230</v>
      </c>
      <c r="C52" s="306" t="s">
        <v>1368</v>
      </c>
      <c r="D52" s="306" t="s">
        <v>1369</v>
      </c>
      <c r="E52" s="268">
        <v>360</v>
      </c>
      <c r="F52" s="268" t="s">
        <v>1052</v>
      </c>
      <c r="G52" s="268"/>
      <c r="H52" s="574"/>
      <c r="I52" s="574"/>
      <c r="J52" s="574"/>
      <c r="K52" s="575"/>
      <c r="L52" s="575"/>
    </row>
    <row r="53" spans="1:12" hidden="1">
      <c r="A53" s="1330" t="s">
        <v>703</v>
      </c>
      <c r="B53" s="1493"/>
      <c r="C53" s="306"/>
      <c r="D53" s="306"/>
      <c r="E53" s="268"/>
      <c r="F53" s="268"/>
      <c r="G53" s="268"/>
      <c r="H53" s="574"/>
      <c r="I53" s="574"/>
      <c r="J53" s="574"/>
      <c r="K53" s="575"/>
      <c r="L53" s="575"/>
    </row>
    <row r="54" spans="1:12" hidden="1">
      <c r="A54" s="1330" t="s">
        <v>156</v>
      </c>
      <c r="B54" s="1493"/>
      <c r="C54" s="306" t="s">
        <v>1368</v>
      </c>
      <c r="D54" s="306" t="s">
        <v>1369</v>
      </c>
      <c r="E54" s="268">
        <v>360</v>
      </c>
      <c r="F54" s="268" t="s">
        <v>1052</v>
      </c>
      <c r="G54" s="268">
        <v>262</v>
      </c>
      <c r="H54" s="574"/>
      <c r="I54" s="574"/>
      <c r="J54" s="574"/>
      <c r="K54" s="575"/>
      <c r="L54" s="575"/>
    </row>
    <row r="55" spans="1:12">
      <c r="A55" s="1330" t="s">
        <v>3</v>
      </c>
      <c r="B55" s="1336"/>
      <c r="C55" s="306" t="s">
        <v>1368</v>
      </c>
      <c r="D55" s="306" t="s">
        <v>1369</v>
      </c>
      <c r="E55" s="268">
        <v>800</v>
      </c>
      <c r="F55" s="268" t="s">
        <v>1052</v>
      </c>
      <c r="G55" s="268"/>
      <c r="H55" s="574">
        <f>H60</f>
        <v>2141.08</v>
      </c>
      <c r="I55" s="574">
        <f>I60</f>
        <v>2141.08</v>
      </c>
      <c r="J55" s="574">
        <f>J60</f>
        <v>2141.08</v>
      </c>
      <c r="K55" s="575"/>
      <c r="L55" s="575"/>
    </row>
    <row r="56" spans="1:12">
      <c r="A56" s="1330" t="s">
        <v>703</v>
      </c>
      <c r="B56" s="1336"/>
      <c r="C56" s="306"/>
      <c r="D56" s="306"/>
      <c r="E56" s="268"/>
      <c r="F56" s="268"/>
      <c r="G56" s="268"/>
      <c r="H56" s="574"/>
      <c r="I56" s="574"/>
      <c r="J56" s="574"/>
      <c r="K56" s="575"/>
      <c r="L56" s="575"/>
    </row>
    <row r="57" spans="1:12" hidden="1">
      <c r="A57" s="1330" t="s">
        <v>153</v>
      </c>
      <c r="B57" s="1491">
        <v>240</v>
      </c>
      <c r="C57" s="306" t="s">
        <v>1368</v>
      </c>
      <c r="D57" s="306" t="s">
        <v>1369</v>
      </c>
      <c r="E57" s="268">
        <v>830</v>
      </c>
      <c r="F57" s="268" t="s">
        <v>1052</v>
      </c>
      <c r="G57" s="268"/>
      <c r="H57" s="574"/>
      <c r="I57" s="574"/>
      <c r="J57" s="574"/>
      <c r="K57" s="575"/>
      <c r="L57" s="575"/>
    </row>
    <row r="58" spans="1:12" ht="94.5" hidden="1">
      <c r="A58" s="1330" t="s">
        <v>158</v>
      </c>
      <c r="B58" s="1491"/>
      <c r="C58" s="306" t="s">
        <v>1368</v>
      </c>
      <c r="D58" s="306" t="s">
        <v>1369</v>
      </c>
      <c r="E58" s="268">
        <v>831</v>
      </c>
      <c r="F58" s="268" t="s">
        <v>1052</v>
      </c>
      <c r="G58" s="268">
        <v>290</v>
      </c>
      <c r="H58" s="574"/>
      <c r="I58" s="574"/>
      <c r="J58" s="574"/>
      <c r="K58" s="575"/>
      <c r="L58" s="575"/>
    </row>
    <row r="59" spans="1:12" ht="94.5" hidden="1">
      <c r="A59" s="1330" t="s">
        <v>158</v>
      </c>
      <c r="B59" s="1492"/>
      <c r="C59" s="306" t="s">
        <v>1368</v>
      </c>
      <c r="D59" s="306" t="s">
        <v>1369</v>
      </c>
      <c r="E59" s="268">
        <v>831</v>
      </c>
      <c r="F59" s="268" t="s">
        <v>1052</v>
      </c>
      <c r="G59" s="268">
        <v>262</v>
      </c>
      <c r="H59" s="574"/>
      <c r="I59" s="574"/>
      <c r="J59" s="574"/>
      <c r="K59" s="575"/>
      <c r="L59" s="575"/>
    </row>
    <row r="60" spans="1:12">
      <c r="A60" s="1330" t="s">
        <v>4</v>
      </c>
      <c r="B60" s="1493">
        <v>250</v>
      </c>
      <c r="C60" s="306" t="s">
        <v>1368</v>
      </c>
      <c r="D60" s="306" t="s">
        <v>1369</v>
      </c>
      <c r="E60" s="268">
        <v>850</v>
      </c>
      <c r="F60" s="268" t="s">
        <v>1052</v>
      </c>
      <c r="G60" s="268">
        <v>290</v>
      </c>
      <c r="H60" s="574">
        <f>H62+H63+H64</f>
        <v>2141.08</v>
      </c>
      <c r="I60" s="574">
        <f>I62+I63+I64</f>
        <v>2141.08</v>
      </c>
      <c r="J60" s="574">
        <f>J62+J63+J64</f>
        <v>2141.08</v>
      </c>
      <c r="K60" s="575"/>
      <c r="L60" s="575"/>
    </row>
    <row r="61" spans="1:12">
      <c r="A61" s="1330" t="s">
        <v>703</v>
      </c>
      <c r="B61" s="1493"/>
      <c r="C61" s="306"/>
      <c r="D61" s="306"/>
      <c r="E61" s="268"/>
      <c r="F61" s="268"/>
      <c r="G61" s="268"/>
      <c r="H61" s="574"/>
      <c r="I61" s="574"/>
      <c r="J61" s="574"/>
      <c r="K61" s="575"/>
      <c r="L61" s="575"/>
    </row>
    <row r="62" spans="1:12" hidden="1">
      <c r="A62" s="1330" t="s">
        <v>5</v>
      </c>
      <c r="B62" s="1493"/>
      <c r="C62" s="306" t="s">
        <v>1368</v>
      </c>
      <c r="D62" s="306" t="s">
        <v>1369</v>
      </c>
      <c r="E62" s="268">
        <v>851</v>
      </c>
      <c r="F62" s="268" t="s">
        <v>1052</v>
      </c>
      <c r="G62" s="268">
        <v>290</v>
      </c>
      <c r="H62" s="574"/>
      <c r="I62" s="574"/>
      <c r="J62" s="574"/>
      <c r="K62" s="575"/>
      <c r="L62" s="575"/>
    </row>
    <row r="63" spans="1:12" hidden="1">
      <c r="A63" s="1330" t="s">
        <v>6</v>
      </c>
      <c r="B63" s="1493"/>
      <c r="C63" s="306" t="s">
        <v>1368</v>
      </c>
      <c r="D63" s="306" t="s">
        <v>1369</v>
      </c>
      <c r="E63" s="268">
        <v>852</v>
      </c>
      <c r="F63" s="268" t="s">
        <v>1052</v>
      </c>
      <c r="G63" s="268">
        <v>290</v>
      </c>
      <c r="H63" s="574"/>
      <c r="I63" s="574">
        <v>0</v>
      </c>
      <c r="J63" s="574">
        <v>0</v>
      </c>
      <c r="K63" s="575"/>
      <c r="L63" s="575"/>
    </row>
    <row r="64" spans="1:12">
      <c r="A64" s="1330" t="s">
        <v>7</v>
      </c>
      <c r="B64" s="1493"/>
      <c r="C64" s="306" t="s">
        <v>1368</v>
      </c>
      <c r="D64" s="306" t="s">
        <v>1369</v>
      </c>
      <c r="E64" s="268">
        <v>853</v>
      </c>
      <c r="F64" s="268" t="s">
        <v>1052</v>
      </c>
      <c r="G64" s="268">
        <v>290</v>
      </c>
      <c r="H64" s="574">
        <f ca="1">'290 налоги ВР 853'!O20</f>
        <v>2141.08</v>
      </c>
      <c r="I64" s="574">
        <f ca="1">'290 налоги ВР 853'!O20</f>
        <v>2141.08</v>
      </c>
      <c r="J64" s="574">
        <f ca="1">'290 налоги ВР 853'!O20</f>
        <v>2141.08</v>
      </c>
      <c r="K64" s="575"/>
      <c r="L64" s="575"/>
    </row>
    <row r="65" spans="1:12" ht="31.5">
      <c r="A65" s="1330" t="s">
        <v>1094</v>
      </c>
      <c r="B65" s="1490">
        <v>260</v>
      </c>
      <c r="C65" s="306" t="s">
        <v>1368</v>
      </c>
      <c r="D65" s="306" t="s">
        <v>1369</v>
      </c>
      <c r="E65" s="268">
        <v>240</v>
      </c>
      <c r="F65" s="268" t="s">
        <v>1052</v>
      </c>
      <c r="G65" s="268"/>
      <c r="H65" s="574">
        <f>H67</f>
        <v>9055337.5</v>
      </c>
      <c r="I65" s="574">
        <f>I67</f>
        <v>9322890.459999999</v>
      </c>
      <c r="J65" s="574">
        <f>J67</f>
        <v>9322890.459999999</v>
      </c>
      <c r="K65" s="575"/>
      <c r="L65" s="575"/>
    </row>
    <row r="66" spans="1:12">
      <c r="A66" s="1330" t="s">
        <v>703</v>
      </c>
      <c r="B66" s="1491"/>
      <c r="C66" s="306"/>
      <c r="D66" s="306"/>
      <c r="E66" s="268"/>
      <c r="F66" s="268"/>
      <c r="G66" s="268"/>
      <c r="H66" s="574"/>
      <c r="I66" s="574"/>
      <c r="J66" s="574"/>
      <c r="K66" s="575"/>
      <c r="L66" s="575"/>
    </row>
    <row r="67" spans="1:12" ht="31.5">
      <c r="A67" s="1330" t="s">
        <v>155</v>
      </c>
      <c r="B67" s="1491"/>
      <c r="C67" s="306" t="s">
        <v>1368</v>
      </c>
      <c r="D67" s="306" t="s">
        <v>1369</v>
      </c>
      <c r="E67" s="268">
        <v>244</v>
      </c>
      <c r="F67" s="268" t="s">
        <v>1052</v>
      </c>
      <c r="G67" s="268"/>
      <c r="H67" s="574">
        <f>H68+H69+H70+H71+H72+H73+H74+H75+H76</f>
        <v>9055337.5</v>
      </c>
      <c r="I67" s="574">
        <f>I68+I69+I70+I71+I72+I73+I74+I75+I76</f>
        <v>9322890.459999999</v>
      </c>
      <c r="J67" s="574">
        <f>J68+J69+J70+J71+J72+J73+J74+J75+J76</f>
        <v>9322890.459999999</v>
      </c>
      <c r="K67" s="575"/>
      <c r="L67" s="575"/>
    </row>
    <row r="68" spans="1:12">
      <c r="A68" s="1330" t="s">
        <v>16</v>
      </c>
      <c r="B68" s="1491"/>
      <c r="C68" s="306" t="s">
        <v>1368</v>
      </c>
      <c r="D68" s="306" t="s">
        <v>1369</v>
      </c>
      <c r="E68" s="268">
        <v>244</v>
      </c>
      <c r="F68" s="268" t="s">
        <v>1052</v>
      </c>
      <c r="G68" s="268">
        <v>221</v>
      </c>
      <c r="H68" s="574">
        <f ca="1">'221'!G22</f>
        <v>84038.76</v>
      </c>
      <c r="I68" s="574">
        <f ca="1">'221'!G22</f>
        <v>84038.76</v>
      </c>
      <c r="J68" s="574">
        <f ca="1">'221'!G22</f>
        <v>84038.76</v>
      </c>
      <c r="K68" s="575"/>
      <c r="L68" s="575"/>
    </row>
    <row r="69" spans="1:12" hidden="1">
      <c r="A69" s="1330" t="s">
        <v>9</v>
      </c>
      <c r="B69" s="1491"/>
      <c r="C69" s="306" t="s">
        <v>1368</v>
      </c>
      <c r="D69" s="306" t="s">
        <v>1369</v>
      </c>
      <c r="E69" s="268">
        <v>244</v>
      </c>
      <c r="F69" s="268" t="s">
        <v>1052</v>
      </c>
      <c r="G69" s="268">
        <v>222</v>
      </c>
      <c r="H69" s="574">
        <v>0</v>
      </c>
      <c r="I69" s="574">
        <v>0</v>
      </c>
      <c r="J69" s="574">
        <v>0</v>
      </c>
      <c r="K69" s="575"/>
      <c r="L69" s="575"/>
    </row>
    <row r="70" spans="1:12">
      <c r="A70" s="1330" t="s">
        <v>17</v>
      </c>
      <c r="B70" s="1491"/>
      <c r="C70" s="306" t="s">
        <v>1368</v>
      </c>
      <c r="D70" s="306" t="s">
        <v>1369</v>
      </c>
      <c r="E70" s="268">
        <v>244</v>
      </c>
      <c r="F70" s="268" t="s">
        <v>1052</v>
      </c>
      <c r="G70" s="268">
        <v>223</v>
      </c>
      <c r="H70" s="1428">
        <f ca="1">'223 свод'!G13</f>
        <v>3692992.0599999996</v>
      </c>
      <c r="I70" s="1428">
        <f ca="1">'223 свод'!G13</f>
        <v>3692992.0599999996</v>
      </c>
      <c r="J70" s="1428">
        <f ca="1">'223 свод'!G13</f>
        <v>3692992.0599999996</v>
      </c>
      <c r="K70" s="575"/>
      <c r="L70" s="575"/>
    </row>
    <row r="71" spans="1:12" hidden="1">
      <c r="A71" s="1330" t="s">
        <v>10</v>
      </c>
      <c r="B71" s="1491"/>
      <c r="C71" s="306" t="s">
        <v>1368</v>
      </c>
      <c r="D71" s="306" t="s">
        <v>1369</v>
      </c>
      <c r="E71" s="268">
        <v>244</v>
      </c>
      <c r="F71" s="268" t="s">
        <v>1052</v>
      </c>
      <c r="G71" s="268">
        <v>224</v>
      </c>
      <c r="H71" s="574">
        <v>0</v>
      </c>
      <c r="I71" s="574">
        <v>0</v>
      </c>
      <c r="J71" s="574">
        <v>0</v>
      </c>
      <c r="K71" s="575"/>
      <c r="L71" s="575"/>
    </row>
    <row r="72" spans="1:12">
      <c r="A72" s="1330" t="s">
        <v>11</v>
      </c>
      <c r="B72" s="1491"/>
      <c r="C72" s="306" t="s">
        <v>1368</v>
      </c>
      <c r="D72" s="306" t="s">
        <v>1369</v>
      </c>
      <c r="E72" s="268">
        <v>244</v>
      </c>
      <c r="F72" s="268" t="s">
        <v>1052</v>
      </c>
      <c r="G72" s="268">
        <v>225</v>
      </c>
      <c r="H72" s="574">
        <f ca="1">'225 ( 2018) '!D25</f>
        <v>397951.72</v>
      </c>
      <c r="I72" s="574">
        <f ca="1">'225 ( 2019-20)'!D24</f>
        <v>344951.72000000003</v>
      </c>
      <c r="J72" s="574">
        <f ca="1">'225 ( 2019-20)'!D24</f>
        <v>344951.72000000003</v>
      </c>
      <c r="K72" s="575"/>
      <c r="L72" s="575"/>
    </row>
    <row r="73" spans="1:12">
      <c r="A73" s="1330" t="s">
        <v>12</v>
      </c>
      <c r="B73" s="1491"/>
      <c r="C73" s="306" t="s">
        <v>1368</v>
      </c>
      <c r="D73" s="306" t="s">
        <v>1369</v>
      </c>
      <c r="E73" s="268">
        <v>244</v>
      </c>
      <c r="F73" s="268" t="s">
        <v>1052</v>
      </c>
      <c r="G73" s="268">
        <v>226</v>
      </c>
      <c r="H73" s="574">
        <f ca="1">'226 ( 2018)  '!D20</f>
        <v>376563.49</v>
      </c>
      <c r="I73" s="574">
        <f ca="1">'226  (2019-20)'!D17</f>
        <v>309485.49</v>
      </c>
      <c r="J73" s="574">
        <f ca="1">'226  (2019-20)'!D17</f>
        <v>309485.49</v>
      </c>
      <c r="K73" s="575"/>
      <c r="L73" s="575"/>
    </row>
    <row r="74" spans="1:12" hidden="1">
      <c r="A74" s="1330" t="s">
        <v>1095</v>
      </c>
      <c r="B74" s="1491"/>
      <c r="C74" s="306"/>
      <c r="D74" s="306" t="s">
        <v>1369</v>
      </c>
      <c r="E74" s="268">
        <v>244</v>
      </c>
      <c r="F74" s="268" t="s">
        <v>1052</v>
      </c>
      <c r="G74" s="268">
        <v>290</v>
      </c>
      <c r="H74" s="574">
        <v>0</v>
      </c>
      <c r="I74" s="574">
        <v>0</v>
      </c>
      <c r="J74" s="574">
        <v>0</v>
      </c>
      <c r="K74" s="575"/>
      <c r="L74" s="575"/>
    </row>
    <row r="75" spans="1:12" hidden="1">
      <c r="A75" s="1330" t="s">
        <v>14</v>
      </c>
      <c r="B75" s="1491"/>
      <c r="C75" s="306"/>
      <c r="D75" s="306" t="s">
        <v>1369</v>
      </c>
      <c r="E75" s="268">
        <v>244</v>
      </c>
      <c r="F75" s="268" t="s">
        <v>1052</v>
      </c>
      <c r="G75" s="268">
        <v>310</v>
      </c>
      <c r="H75" s="574">
        <v>0</v>
      </c>
      <c r="I75" s="574">
        <v>0</v>
      </c>
      <c r="J75" s="574">
        <v>0</v>
      </c>
      <c r="K75" s="575"/>
      <c r="L75" s="575"/>
    </row>
    <row r="76" spans="1:12">
      <c r="A76" s="1330" t="s">
        <v>15</v>
      </c>
      <c r="B76" s="1491"/>
      <c r="C76" s="306" t="s">
        <v>1368</v>
      </c>
      <c r="D76" s="306" t="s">
        <v>1369</v>
      </c>
      <c r="E76" s="268">
        <v>244</v>
      </c>
      <c r="F76" s="268" t="s">
        <v>1052</v>
      </c>
      <c r="G76" s="268">
        <v>340</v>
      </c>
      <c r="H76" s="1428">
        <f ca="1">'340 свод 2018 '!C27</f>
        <v>4503791.47</v>
      </c>
      <c r="I76" s="1428">
        <f ca="1">'340 свод 2019'!C27</f>
        <v>4891422.43</v>
      </c>
      <c r="J76" s="1428">
        <f ca="1">'340 свод 2020'!C27</f>
        <v>4891422.43</v>
      </c>
      <c r="K76" s="575"/>
      <c r="L76" s="575"/>
    </row>
    <row r="77" spans="1:12" ht="31.5" hidden="1">
      <c r="A77" s="1330" t="s">
        <v>1094</v>
      </c>
      <c r="B77" s="1490">
        <v>270</v>
      </c>
      <c r="C77" s="306"/>
      <c r="D77" s="306" t="s">
        <v>1369</v>
      </c>
      <c r="E77" s="268">
        <v>240</v>
      </c>
      <c r="F77" s="268" t="s">
        <v>1052</v>
      </c>
      <c r="G77" s="268"/>
      <c r="H77" s="574"/>
      <c r="I77" s="574"/>
      <c r="J77" s="574"/>
      <c r="K77" s="575"/>
      <c r="L77" s="575"/>
    </row>
    <row r="78" spans="1:12" hidden="1">
      <c r="A78" s="1330" t="s">
        <v>703</v>
      </c>
      <c r="B78" s="1491"/>
      <c r="C78" s="306"/>
      <c r="D78" s="306"/>
      <c r="E78" s="268"/>
      <c r="F78" s="268"/>
      <c r="G78" s="268"/>
      <c r="H78" s="574"/>
      <c r="I78" s="574"/>
      <c r="J78" s="574"/>
      <c r="K78" s="575"/>
      <c r="L78" s="575"/>
    </row>
    <row r="79" spans="1:12" hidden="1">
      <c r="A79" s="1330" t="s">
        <v>8</v>
      </c>
      <c r="B79" s="1492"/>
      <c r="C79" s="306"/>
      <c r="D79" s="306"/>
      <c r="E79" s="268">
        <v>244</v>
      </c>
      <c r="F79" s="268" t="s">
        <v>1052</v>
      </c>
      <c r="G79" s="268">
        <v>290</v>
      </c>
      <c r="H79" s="574"/>
      <c r="I79" s="574"/>
      <c r="J79" s="574"/>
      <c r="K79" s="575"/>
      <c r="L79" s="575"/>
    </row>
    <row r="80" spans="1:12" ht="31.5" hidden="1">
      <c r="A80" s="1330" t="s">
        <v>1</v>
      </c>
      <c r="B80" s="1493">
        <v>280</v>
      </c>
      <c r="C80" s="306"/>
      <c r="D80" s="306" t="s">
        <v>1369</v>
      </c>
      <c r="E80" s="268">
        <v>320</v>
      </c>
      <c r="F80" s="268" t="s">
        <v>1052</v>
      </c>
      <c r="G80" s="268"/>
      <c r="H80" s="574"/>
      <c r="I80" s="574"/>
      <c r="J80" s="574"/>
      <c r="K80" s="575"/>
      <c r="L80" s="575"/>
    </row>
    <row r="81" spans="1:13" hidden="1">
      <c r="A81" s="1330" t="s">
        <v>703</v>
      </c>
      <c r="B81" s="1493"/>
      <c r="C81" s="306"/>
      <c r="D81" s="306"/>
      <c r="E81" s="268"/>
      <c r="F81" s="268"/>
      <c r="G81" s="268"/>
      <c r="H81" s="574"/>
      <c r="I81" s="574"/>
      <c r="J81" s="574"/>
      <c r="K81" s="575"/>
      <c r="L81" s="575"/>
      <c r="M81" s="530"/>
    </row>
    <row r="82" spans="1:13" ht="31.5" hidden="1">
      <c r="A82" s="1330" t="s">
        <v>1917</v>
      </c>
      <c r="B82" s="1493"/>
      <c r="C82" s="306"/>
      <c r="D82" s="306" t="s">
        <v>1369</v>
      </c>
      <c r="E82" s="268">
        <v>321</v>
      </c>
      <c r="F82" s="268" t="s">
        <v>1052</v>
      </c>
      <c r="G82" s="268">
        <v>262</v>
      </c>
      <c r="H82" s="574"/>
      <c r="I82" s="574"/>
      <c r="J82" s="574"/>
      <c r="K82" s="575"/>
      <c r="L82" s="575"/>
      <c r="M82" s="530"/>
    </row>
    <row r="83" spans="1:13" ht="31.5" hidden="1">
      <c r="A83" s="1330" t="s">
        <v>1093</v>
      </c>
      <c r="B83" s="1493"/>
      <c r="C83" s="306"/>
      <c r="D83" s="306" t="s">
        <v>1369</v>
      </c>
      <c r="E83" s="268">
        <v>323</v>
      </c>
      <c r="F83" s="268" t="s">
        <v>1052</v>
      </c>
      <c r="G83" s="268">
        <v>262</v>
      </c>
      <c r="H83" s="574"/>
      <c r="I83" s="574"/>
      <c r="J83" s="574"/>
      <c r="K83" s="575"/>
      <c r="L83" s="575"/>
      <c r="M83" s="530"/>
    </row>
    <row r="84" spans="1:13" ht="78.75">
      <c r="A84" s="1330" t="s">
        <v>2066</v>
      </c>
      <c r="B84" s="1338"/>
      <c r="C84" s="306" t="s">
        <v>712</v>
      </c>
      <c r="D84" s="306" t="s">
        <v>712</v>
      </c>
      <c r="E84" s="268" t="s">
        <v>712</v>
      </c>
      <c r="F84" s="268" t="s">
        <v>1053</v>
      </c>
      <c r="G84" s="268"/>
      <c r="H84" s="574">
        <f>H85+H86+H87+H88</f>
        <v>172372</v>
      </c>
      <c r="I84" s="574">
        <f>I85+I86+I87+I88</f>
        <v>85000</v>
      </c>
      <c r="J84" s="574">
        <f>J85+J86+J87+J88</f>
        <v>85000</v>
      </c>
      <c r="K84" s="575"/>
      <c r="L84" s="575"/>
    </row>
    <row r="85" spans="1:13" hidden="1">
      <c r="A85" s="1330" t="s">
        <v>161</v>
      </c>
      <c r="B85" s="1493">
        <v>290</v>
      </c>
      <c r="C85" s="306"/>
      <c r="D85" s="306"/>
      <c r="E85" s="268">
        <v>110</v>
      </c>
      <c r="F85" s="268"/>
      <c r="G85" s="268"/>
      <c r="H85" s="574"/>
      <c r="I85" s="574"/>
      <c r="J85" s="574"/>
      <c r="K85" s="575"/>
      <c r="L85" s="575"/>
    </row>
    <row r="86" spans="1:13" ht="31.5" hidden="1">
      <c r="A86" s="1337" t="s">
        <v>0</v>
      </c>
      <c r="B86" s="1493"/>
      <c r="C86" s="306"/>
      <c r="D86" s="306"/>
      <c r="E86" s="268">
        <v>112</v>
      </c>
      <c r="F86" s="268"/>
      <c r="G86" s="268">
        <v>212</v>
      </c>
      <c r="H86" s="574"/>
      <c r="I86" s="574"/>
      <c r="J86" s="574"/>
      <c r="K86" s="575"/>
      <c r="L86" s="575"/>
    </row>
    <row r="87" spans="1:13" ht="31.5" hidden="1">
      <c r="A87" s="1337" t="s">
        <v>0</v>
      </c>
      <c r="B87" s="1493"/>
      <c r="C87" s="306"/>
      <c r="D87" s="306"/>
      <c r="E87" s="268">
        <v>112</v>
      </c>
      <c r="F87" s="268"/>
      <c r="G87" s="268">
        <v>222</v>
      </c>
      <c r="H87" s="574"/>
      <c r="I87" s="574"/>
      <c r="J87" s="574"/>
      <c r="K87" s="575"/>
      <c r="L87" s="575"/>
    </row>
    <row r="88" spans="1:13" ht="31.5">
      <c r="A88" s="1330" t="s">
        <v>1094</v>
      </c>
      <c r="B88" s="1490">
        <v>300</v>
      </c>
      <c r="C88" s="306" t="s">
        <v>1368</v>
      </c>
      <c r="D88" s="306" t="s">
        <v>1369</v>
      </c>
      <c r="E88" s="268">
        <v>240</v>
      </c>
      <c r="F88" s="268" t="s">
        <v>1053</v>
      </c>
      <c r="G88" s="268"/>
      <c r="H88" s="574">
        <f>H90+H98</f>
        <v>172372</v>
      </c>
      <c r="I88" s="574">
        <f>I90+I98</f>
        <v>85000</v>
      </c>
      <c r="J88" s="574">
        <f>J90+J98</f>
        <v>85000</v>
      </c>
      <c r="K88" s="575"/>
      <c r="L88" s="575"/>
    </row>
    <row r="89" spans="1:13" hidden="1">
      <c r="A89" s="1330" t="s">
        <v>703</v>
      </c>
      <c r="B89" s="1491"/>
      <c r="C89" s="306"/>
      <c r="D89" s="306"/>
      <c r="E89" s="268"/>
      <c r="F89" s="268"/>
      <c r="G89" s="268"/>
      <c r="H89" s="574"/>
      <c r="I89" s="574"/>
      <c r="J89" s="574"/>
      <c r="K89" s="575"/>
      <c r="L89" s="575"/>
    </row>
    <row r="90" spans="1:13" ht="31.5" hidden="1">
      <c r="A90" s="1330" t="s">
        <v>154</v>
      </c>
      <c r="B90" s="1491"/>
      <c r="C90" s="306" t="s">
        <v>1368</v>
      </c>
      <c r="D90" s="306" t="s">
        <v>1369</v>
      </c>
      <c r="E90" s="268">
        <v>243</v>
      </c>
      <c r="F90" s="268"/>
      <c r="G90" s="268"/>
      <c r="H90" s="574">
        <f>H91+H92+H93+H94+H95+H96+H97</f>
        <v>0</v>
      </c>
      <c r="I90" s="574">
        <f>I91+I92+I93+I94+I95+I96+I97</f>
        <v>0</v>
      </c>
      <c r="J90" s="574">
        <f>J91+J92+J93+J94+J95+J96+J97</f>
        <v>0</v>
      </c>
      <c r="K90" s="575"/>
      <c r="L90" s="575"/>
    </row>
    <row r="91" spans="1:13" hidden="1">
      <c r="A91" s="1330" t="s">
        <v>9</v>
      </c>
      <c r="B91" s="1491"/>
      <c r="C91" s="306" t="s">
        <v>1368</v>
      </c>
      <c r="D91" s="306" t="s">
        <v>1369</v>
      </c>
      <c r="E91" s="268">
        <v>243</v>
      </c>
      <c r="F91" s="268"/>
      <c r="G91" s="268">
        <v>222</v>
      </c>
      <c r="H91" s="574"/>
      <c r="I91" s="574"/>
      <c r="J91" s="574"/>
      <c r="K91" s="575"/>
      <c r="L91" s="575"/>
    </row>
    <row r="92" spans="1:13" hidden="1">
      <c r="A92" s="1330" t="s">
        <v>10</v>
      </c>
      <c r="B92" s="1491"/>
      <c r="C92" s="306" t="s">
        <v>1368</v>
      </c>
      <c r="D92" s="306" t="s">
        <v>1369</v>
      </c>
      <c r="E92" s="268">
        <v>243</v>
      </c>
      <c r="F92" s="268"/>
      <c r="G92" s="268">
        <v>224</v>
      </c>
      <c r="H92" s="574"/>
      <c r="I92" s="574"/>
      <c r="J92" s="574"/>
      <c r="K92" s="575"/>
      <c r="L92" s="575"/>
    </row>
    <row r="93" spans="1:13" hidden="1">
      <c r="A93" s="1330" t="s">
        <v>11</v>
      </c>
      <c r="B93" s="1491"/>
      <c r="C93" s="306" t="s">
        <v>1368</v>
      </c>
      <c r="D93" s="306" t="s">
        <v>1369</v>
      </c>
      <c r="E93" s="268">
        <v>243</v>
      </c>
      <c r="F93" s="268"/>
      <c r="G93" s="268">
        <v>225</v>
      </c>
      <c r="H93" s="574">
        <v>0</v>
      </c>
      <c r="I93" s="574"/>
      <c r="J93" s="574">
        <v>0</v>
      </c>
      <c r="K93" s="575"/>
      <c r="L93" s="575"/>
    </row>
    <row r="94" spans="1:13" ht="16.7" hidden="1" customHeight="1">
      <c r="A94" s="1330" t="s">
        <v>12</v>
      </c>
      <c r="B94" s="1491"/>
      <c r="C94" s="306" t="s">
        <v>1368</v>
      </c>
      <c r="D94" s="306" t="s">
        <v>1369</v>
      </c>
      <c r="E94" s="268">
        <v>243</v>
      </c>
      <c r="F94" s="268"/>
      <c r="G94" s="268">
        <v>226</v>
      </c>
      <c r="H94" s="574"/>
      <c r="I94" s="574"/>
      <c r="J94" s="574"/>
      <c r="K94" s="575"/>
      <c r="L94" s="575"/>
    </row>
    <row r="95" spans="1:13" hidden="1">
      <c r="A95" s="1330" t="s">
        <v>13</v>
      </c>
      <c r="B95" s="1491"/>
      <c r="C95" s="306" t="s">
        <v>1368</v>
      </c>
      <c r="D95" s="306" t="s">
        <v>1369</v>
      </c>
      <c r="E95" s="268">
        <v>243</v>
      </c>
      <c r="F95" s="268"/>
      <c r="G95" s="268">
        <v>290</v>
      </c>
      <c r="H95" s="574"/>
      <c r="I95" s="574"/>
      <c r="J95" s="574"/>
      <c r="K95" s="575"/>
      <c r="L95" s="575"/>
    </row>
    <row r="96" spans="1:13" hidden="1">
      <c r="A96" s="1330" t="s">
        <v>14</v>
      </c>
      <c r="B96" s="1491"/>
      <c r="C96" s="306" t="s">
        <v>1368</v>
      </c>
      <c r="D96" s="306" t="s">
        <v>1369</v>
      </c>
      <c r="E96" s="268">
        <v>243</v>
      </c>
      <c r="F96" s="268"/>
      <c r="G96" s="268">
        <v>310</v>
      </c>
      <c r="H96" s="574"/>
      <c r="I96" s="574"/>
      <c r="J96" s="574"/>
      <c r="K96" s="575"/>
      <c r="L96" s="575"/>
    </row>
    <row r="97" spans="1:13" hidden="1">
      <c r="A97" s="1330" t="s">
        <v>15</v>
      </c>
      <c r="B97" s="1491"/>
      <c r="C97" s="306" t="s">
        <v>1368</v>
      </c>
      <c r="D97" s="306" t="s">
        <v>1369</v>
      </c>
      <c r="E97" s="268">
        <v>243</v>
      </c>
      <c r="F97" s="268"/>
      <c r="G97" s="268">
        <v>340</v>
      </c>
      <c r="H97" s="574"/>
      <c r="I97" s="574"/>
      <c r="J97" s="574"/>
      <c r="K97" s="575"/>
      <c r="L97" s="575"/>
    </row>
    <row r="98" spans="1:13" ht="31.5">
      <c r="A98" s="1330" t="s">
        <v>1092</v>
      </c>
      <c r="B98" s="1491"/>
      <c r="C98" s="306" t="s">
        <v>1368</v>
      </c>
      <c r="D98" s="306" t="s">
        <v>1369</v>
      </c>
      <c r="E98" s="268">
        <v>244</v>
      </c>
      <c r="F98" s="268" t="s">
        <v>1053</v>
      </c>
      <c r="G98" s="268"/>
      <c r="H98" s="574">
        <f>H99+H100+H101+H102+H103+H104+H105+H106+H107</f>
        <v>172372</v>
      </c>
      <c r="I98" s="574">
        <f>I99+I100+I101+I102+I103+I104+I105+I106+I107</f>
        <v>85000</v>
      </c>
      <c r="J98" s="574">
        <f>J99+J100+J101+J102+J103+J104+J105+J106+J107</f>
        <v>85000</v>
      </c>
      <c r="K98" s="575"/>
      <c r="L98" s="575"/>
    </row>
    <row r="99" spans="1:13" hidden="1">
      <c r="A99" s="1330" t="s">
        <v>16</v>
      </c>
      <c r="B99" s="1491"/>
      <c r="C99" s="306" t="s">
        <v>1368</v>
      </c>
      <c r="D99" s="306" t="s">
        <v>1369</v>
      </c>
      <c r="E99" s="268">
        <v>244</v>
      </c>
      <c r="F99" s="268"/>
      <c r="G99" s="268">
        <v>221</v>
      </c>
      <c r="H99" s="574"/>
      <c r="I99" s="574"/>
      <c r="J99" s="574"/>
      <c r="K99" s="575"/>
      <c r="L99" s="575"/>
    </row>
    <row r="100" spans="1:13" hidden="1">
      <c r="A100" s="1330" t="s">
        <v>9</v>
      </c>
      <c r="B100" s="1491"/>
      <c r="C100" s="306" t="s">
        <v>1368</v>
      </c>
      <c r="D100" s="306" t="s">
        <v>1369</v>
      </c>
      <c r="E100" s="268">
        <v>244</v>
      </c>
      <c r="F100" s="268"/>
      <c r="G100" s="268">
        <v>222</v>
      </c>
      <c r="H100" s="574"/>
      <c r="I100" s="574"/>
      <c r="J100" s="574"/>
      <c r="K100" s="575"/>
      <c r="L100" s="575"/>
    </row>
    <row r="101" spans="1:13" hidden="1">
      <c r="A101" s="1330" t="s">
        <v>17</v>
      </c>
      <c r="B101" s="1491"/>
      <c r="C101" s="306" t="s">
        <v>1368</v>
      </c>
      <c r="D101" s="306" t="s">
        <v>1369</v>
      </c>
      <c r="E101" s="268">
        <v>244</v>
      </c>
      <c r="F101" s="268"/>
      <c r="G101" s="268">
        <v>223</v>
      </c>
      <c r="H101" s="574"/>
      <c r="I101" s="574"/>
      <c r="J101" s="574"/>
      <c r="K101" s="575"/>
      <c r="L101" s="575"/>
    </row>
    <row r="102" spans="1:13" hidden="1">
      <c r="A102" s="1330" t="s">
        <v>10</v>
      </c>
      <c r="B102" s="1491"/>
      <c r="C102" s="306" t="s">
        <v>1368</v>
      </c>
      <c r="D102" s="306" t="s">
        <v>1369</v>
      </c>
      <c r="E102" s="268">
        <v>244</v>
      </c>
      <c r="F102" s="268"/>
      <c r="G102" s="268">
        <v>224</v>
      </c>
      <c r="H102" s="574"/>
      <c r="I102" s="574"/>
      <c r="J102" s="574"/>
      <c r="K102" s="575"/>
      <c r="L102" s="575"/>
    </row>
    <row r="103" spans="1:13" hidden="1">
      <c r="A103" s="1330" t="s">
        <v>11</v>
      </c>
      <c r="B103" s="1491"/>
      <c r="C103" s="306" t="s">
        <v>1368</v>
      </c>
      <c r="D103" s="306" t="s">
        <v>1369</v>
      </c>
      <c r="E103" s="268">
        <v>244</v>
      </c>
      <c r="F103" s="268"/>
      <c r="G103" s="268">
        <v>225</v>
      </c>
      <c r="H103" s="574"/>
      <c r="I103" s="574"/>
      <c r="J103" s="574"/>
      <c r="K103" s="575"/>
      <c r="L103" s="575"/>
    </row>
    <row r="104" spans="1:13" hidden="1">
      <c r="A104" s="1330" t="s">
        <v>12</v>
      </c>
      <c r="B104" s="1491"/>
      <c r="C104" s="306" t="s">
        <v>1368</v>
      </c>
      <c r="D104" s="306" t="s">
        <v>1369</v>
      </c>
      <c r="E104" s="268">
        <v>244</v>
      </c>
      <c r="F104" s="268"/>
      <c r="G104" s="268">
        <v>226</v>
      </c>
      <c r="H104" s="574"/>
      <c r="I104" s="574"/>
      <c r="J104" s="574"/>
      <c r="K104" s="575"/>
      <c r="L104" s="575"/>
    </row>
    <row r="105" spans="1:13" hidden="1">
      <c r="A105" s="1330" t="s">
        <v>1095</v>
      </c>
      <c r="B105" s="1491"/>
      <c r="C105" s="306" t="s">
        <v>1368</v>
      </c>
      <c r="D105" s="306" t="s">
        <v>1369</v>
      </c>
      <c r="E105" s="268">
        <v>244</v>
      </c>
      <c r="F105" s="268"/>
      <c r="G105" s="268">
        <v>290</v>
      </c>
      <c r="H105" s="574"/>
      <c r="I105" s="574"/>
      <c r="J105" s="574"/>
      <c r="K105" s="575"/>
      <c r="L105" s="575"/>
    </row>
    <row r="106" spans="1:13">
      <c r="A106" s="1330" t="s">
        <v>14</v>
      </c>
      <c r="B106" s="1491"/>
      <c r="C106" s="306" t="s">
        <v>1368</v>
      </c>
      <c r="D106" s="306" t="s">
        <v>1369</v>
      </c>
      <c r="E106" s="268">
        <v>244</v>
      </c>
      <c r="F106" s="268" t="s">
        <v>1053</v>
      </c>
      <c r="G106" s="268">
        <v>310</v>
      </c>
      <c r="H106" s="574">
        <f ca="1">'ЦС ( 2018) '!F9</f>
        <v>172372</v>
      </c>
      <c r="I106" s="574">
        <f ca="1">'ЦС ( 2019-20)'!F9</f>
        <v>85000</v>
      </c>
      <c r="J106" s="574">
        <f ca="1">'ЦС ( 2019-20)'!F9</f>
        <v>85000</v>
      </c>
      <c r="K106" s="575"/>
      <c r="L106" s="575"/>
    </row>
    <row r="107" spans="1:13" hidden="1">
      <c r="A107" s="1330" t="s">
        <v>15</v>
      </c>
      <c r="B107" s="1492"/>
      <c r="C107" s="306"/>
      <c r="D107" s="306"/>
      <c r="E107" s="268">
        <v>244</v>
      </c>
      <c r="F107" s="268"/>
      <c r="G107" s="268">
        <v>340</v>
      </c>
      <c r="H107" s="574"/>
      <c r="I107" s="574"/>
      <c r="J107" s="574"/>
      <c r="K107" s="575"/>
      <c r="L107" s="575"/>
    </row>
    <row r="108" spans="1:13" ht="31.5" hidden="1">
      <c r="A108" s="1330" t="s">
        <v>1094</v>
      </c>
      <c r="B108" s="1490">
        <v>310</v>
      </c>
      <c r="C108" s="306"/>
      <c r="D108" s="306"/>
      <c r="E108" s="268">
        <v>240</v>
      </c>
      <c r="F108" s="268"/>
      <c r="G108" s="268"/>
      <c r="H108" s="574"/>
      <c r="I108" s="574"/>
      <c r="J108" s="574"/>
      <c r="K108" s="575"/>
      <c r="L108" s="575"/>
    </row>
    <row r="109" spans="1:13" hidden="1">
      <c r="A109" s="1330" t="s">
        <v>703</v>
      </c>
      <c r="B109" s="1491"/>
      <c r="C109" s="306"/>
      <c r="D109" s="306"/>
      <c r="E109" s="268"/>
      <c r="F109" s="268"/>
      <c r="G109" s="268"/>
      <c r="H109" s="574"/>
      <c r="I109" s="574"/>
      <c r="J109" s="574"/>
      <c r="K109" s="575"/>
      <c r="L109" s="575"/>
    </row>
    <row r="110" spans="1:13" hidden="1">
      <c r="A110" s="1330" t="s">
        <v>8</v>
      </c>
      <c r="B110" s="1492"/>
      <c r="C110" s="306"/>
      <c r="D110" s="306"/>
      <c r="E110" s="268">
        <v>244</v>
      </c>
      <c r="F110" s="268"/>
      <c r="G110" s="268">
        <v>290</v>
      </c>
      <c r="H110" s="574"/>
      <c r="I110" s="574"/>
      <c r="J110" s="574"/>
      <c r="K110" s="575"/>
      <c r="L110" s="575"/>
    </row>
    <row r="111" spans="1:13" ht="31.5" hidden="1">
      <c r="A111" s="1330" t="s">
        <v>1</v>
      </c>
      <c r="B111" s="1493">
        <v>320</v>
      </c>
      <c r="C111" s="306"/>
      <c r="D111" s="306"/>
      <c r="E111" s="268">
        <v>320</v>
      </c>
      <c r="F111" s="268"/>
      <c r="G111" s="268"/>
      <c r="H111" s="574"/>
      <c r="I111" s="574"/>
      <c r="J111" s="574"/>
      <c r="K111" s="575"/>
      <c r="L111" s="575"/>
    </row>
    <row r="112" spans="1:13" hidden="1">
      <c r="A112" s="1330" t="s">
        <v>703</v>
      </c>
      <c r="B112" s="1493"/>
      <c r="C112" s="306"/>
      <c r="D112" s="306"/>
      <c r="E112" s="268"/>
      <c r="F112" s="268"/>
      <c r="G112" s="268"/>
      <c r="H112" s="574"/>
      <c r="I112" s="574"/>
      <c r="J112" s="574"/>
      <c r="K112" s="575"/>
      <c r="L112" s="575"/>
      <c r="M112" s="530"/>
    </row>
    <row r="113" spans="1:13" ht="31.5" hidden="1">
      <c r="A113" s="1330" t="s">
        <v>1917</v>
      </c>
      <c r="B113" s="1493"/>
      <c r="C113" s="306"/>
      <c r="D113" s="306"/>
      <c r="E113" s="268">
        <v>321</v>
      </c>
      <c r="F113" s="268"/>
      <c r="G113" s="268">
        <v>262</v>
      </c>
      <c r="H113" s="574"/>
      <c r="I113" s="574"/>
      <c r="J113" s="574"/>
      <c r="K113" s="575"/>
      <c r="L113" s="575"/>
      <c r="M113" s="530"/>
    </row>
    <row r="114" spans="1:13" ht="31.5" hidden="1">
      <c r="A114" s="1330" t="s">
        <v>1093</v>
      </c>
      <c r="B114" s="1493"/>
      <c r="C114" s="306"/>
      <c r="D114" s="306"/>
      <c r="E114" s="268">
        <v>323</v>
      </c>
      <c r="F114" s="268"/>
      <c r="G114" s="268">
        <v>262</v>
      </c>
      <c r="H114" s="574"/>
      <c r="I114" s="574"/>
      <c r="J114" s="574"/>
      <c r="K114" s="575"/>
      <c r="L114" s="575"/>
      <c r="M114" s="530"/>
    </row>
    <row r="115" spans="1:13" hidden="1">
      <c r="A115" s="1330" t="s">
        <v>1089</v>
      </c>
      <c r="B115" s="1491">
        <v>330</v>
      </c>
      <c r="C115" s="306"/>
      <c r="D115" s="306"/>
      <c r="E115" s="268">
        <v>340</v>
      </c>
      <c r="F115" s="268"/>
      <c r="G115" s="268"/>
      <c r="H115" s="574"/>
      <c r="I115" s="574"/>
      <c r="J115" s="574"/>
      <c r="K115" s="575"/>
      <c r="L115" s="575"/>
    </row>
    <row r="116" spans="1:13" hidden="1">
      <c r="A116" s="1330" t="s">
        <v>703</v>
      </c>
      <c r="B116" s="1491"/>
      <c r="C116" s="306"/>
      <c r="D116" s="306"/>
      <c r="E116" s="268"/>
      <c r="F116" s="268"/>
      <c r="G116" s="268"/>
      <c r="H116" s="574"/>
      <c r="I116" s="574"/>
      <c r="J116" s="574"/>
      <c r="K116" s="575"/>
      <c r="L116" s="575"/>
    </row>
    <row r="117" spans="1:13" hidden="1">
      <c r="A117" s="1330" t="s">
        <v>1090</v>
      </c>
      <c r="B117" s="1492"/>
      <c r="C117" s="306"/>
      <c r="D117" s="306"/>
      <c r="E117" s="268">
        <v>340</v>
      </c>
      <c r="F117" s="268"/>
      <c r="G117" s="268">
        <v>290</v>
      </c>
      <c r="H117" s="574"/>
      <c r="I117" s="574"/>
      <c r="J117" s="574"/>
      <c r="K117" s="575"/>
      <c r="L117" s="575"/>
    </row>
    <row r="118" spans="1:13" ht="110.25">
      <c r="A118" s="1330" t="s">
        <v>2065</v>
      </c>
      <c r="B118" s="1338"/>
      <c r="C118" s="306" t="s">
        <v>712</v>
      </c>
      <c r="D118" s="306" t="s">
        <v>712</v>
      </c>
      <c r="E118" s="268" t="s">
        <v>712</v>
      </c>
      <c r="F118" s="268" t="s">
        <v>1054</v>
      </c>
      <c r="G118" s="268"/>
      <c r="H118" s="574">
        <f>H119+H120+H121+H122</f>
        <v>305283</v>
      </c>
      <c r="I118" s="574">
        <f>I119+I120+I121+I122</f>
        <v>0</v>
      </c>
      <c r="J118" s="574">
        <f>J119+J120+J121+J122</f>
        <v>0</v>
      </c>
      <c r="K118" s="575"/>
      <c r="L118" s="575"/>
    </row>
    <row r="119" spans="1:13" hidden="1">
      <c r="A119" s="1330" t="s">
        <v>161</v>
      </c>
      <c r="B119" s="1493">
        <v>290</v>
      </c>
      <c r="C119" s="306"/>
      <c r="D119" s="306"/>
      <c r="E119" s="268">
        <v>110</v>
      </c>
      <c r="F119" s="268"/>
      <c r="G119" s="268"/>
      <c r="H119" s="574"/>
      <c r="I119" s="574"/>
      <c r="J119" s="574"/>
      <c r="K119" s="575"/>
      <c r="L119" s="575"/>
    </row>
    <row r="120" spans="1:13" ht="31.5" hidden="1">
      <c r="A120" s="1337" t="s">
        <v>0</v>
      </c>
      <c r="B120" s="1493"/>
      <c r="C120" s="306"/>
      <c r="D120" s="306"/>
      <c r="E120" s="268">
        <v>112</v>
      </c>
      <c r="F120" s="268"/>
      <c r="G120" s="268">
        <v>212</v>
      </c>
      <c r="H120" s="574"/>
      <c r="I120" s="574"/>
      <c r="J120" s="574"/>
      <c r="K120" s="575"/>
      <c r="L120" s="575"/>
    </row>
    <row r="121" spans="1:13" ht="31.5" hidden="1">
      <c r="A121" s="1337" t="s">
        <v>0</v>
      </c>
      <c r="B121" s="1493"/>
      <c r="C121" s="306"/>
      <c r="D121" s="306"/>
      <c r="E121" s="268">
        <v>112</v>
      </c>
      <c r="F121" s="268"/>
      <c r="G121" s="268">
        <v>222</v>
      </c>
      <c r="H121" s="574"/>
      <c r="I121" s="574"/>
      <c r="J121" s="574"/>
      <c r="K121" s="575"/>
      <c r="L121" s="575"/>
    </row>
    <row r="122" spans="1:13" ht="31.5">
      <c r="A122" s="1330" t="s">
        <v>1094</v>
      </c>
      <c r="B122" s="1490">
        <v>300</v>
      </c>
      <c r="C122" s="306" t="s">
        <v>1368</v>
      </c>
      <c r="D122" s="306" t="s">
        <v>1369</v>
      </c>
      <c r="E122" s="268">
        <v>240</v>
      </c>
      <c r="F122" s="268" t="s">
        <v>1054</v>
      </c>
      <c r="G122" s="268"/>
      <c r="H122" s="574">
        <f>H127+H132</f>
        <v>305283</v>
      </c>
      <c r="I122" s="574">
        <f>I127+I132</f>
        <v>0</v>
      </c>
      <c r="J122" s="574">
        <f>J127+J132</f>
        <v>0</v>
      </c>
      <c r="K122" s="575"/>
      <c r="L122" s="575"/>
    </row>
    <row r="123" spans="1:13">
      <c r="A123" s="1330" t="s">
        <v>703</v>
      </c>
      <c r="B123" s="1491"/>
      <c r="C123" s="306"/>
      <c r="D123" s="306"/>
      <c r="E123" s="268"/>
      <c r="F123" s="268"/>
      <c r="G123" s="268"/>
      <c r="H123" s="574"/>
      <c r="I123" s="574"/>
      <c r="J123" s="574"/>
      <c r="K123" s="575"/>
      <c r="L123" s="575"/>
    </row>
    <row r="124" spans="1:13" ht="31.5">
      <c r="A124" s="1330" t="s">
        <v>154</v>
      </c>
      <c r="B124" s="1491"/>
      <c r="C124" s="306" t="s">
        <v>1368</v>
      </c>
      <c r="D124" s="306" t="s">
        <v>1369</v>
      </c>
      <c r="E124" s="268">
        <v>243</v>
      </c>
      <c r="F124" s="268" t="s">
        <v>1054</v>
      </c>
      <c r="G124" s="268"/>
      <c r="H124" s="574">
        <f>H125+H126+H127+H128+H129+H130+H131</f>
        <v>305283</v>
      </c>
      <c r="I124" s="574">
        <f>I125+I126+I127+I128+I129+I130+I131</f>
        <v>0</v>
      </c>
      <c r="J124" s="574">
        <f>J125+J126+J127+J128+J129+J130+J131</f>
        <v>0</v>
      </c>
      <c r="K124" s="575"/>
      <c r="L124" s="575"/>
    </row>
    <row r="125" spans="1:13" hidden="1">
      <c r="A125" s="1330" t="s">
        <v>9</v>
      </c>
      <c r="B125" s="1491"/>
      <c r="C125" s="306" t="s">
        <v>1368</v>
      </c>
      <c r="D125" s="306" t="s">
        <v>1369</v>
      </c>
      <c r="E125" s="268">
        <v>243</v>
      </c>
      <c r="F125" s="268"/>
      <c r="G125" s="268">
        <v>222</v>
      </c>
      <c r="H125" s="574"/>
      <c r="I125" s="574"/>
      <c r="J125" s="574"/>
      <c r="K125" s="575"/>
      <c r="L125" s="575"/>
    </row>
    <row r="126" spans="1:13" hidden="1">
      <c r="A126" s="1330" t="s">
        <v>10</v>
      </c>
      <c r="B126" s="1491"/>
      <c r="C126" s="306" t="s">
        <v>1368</v>
      </c>
      <c r="D126" s="306" t="s">
        <v>1369</v>
      </c>
      <c r="E126" s="268">
        <v>243</v>
      </c>
      <c r="F126" s="268"/>
      <c r="G126" s="268">
        <v>224</v>
      </c>
      <c r="H126" s="574"/>
      <c r="I126" s="574"/>
      <c r="J126" s="574"/>
      <c r="K126" s="575"/>
      <c r="L126" s="575"/>
    </row>
    <row r="127" spans="1:13">
      <c r="A127" s="1330" t="s">
        <v>11</v>
      </c>
      <c r="B127" s="1491"/>
      <c r="C127" s="306" t="s">
        <v>1368</v>
      </c>
      <c r="D127" s="306" t="s">
        <v>1369</v>
      </c>
      <c r="E127" s="268">
        <v>243</v>
      </c>
      <c r="F127" s="268" t="s">
        <v>1054</v>
      </c>
      <c r="G127" s="268">
        <v>225</v>
      </c>
      <c r="H127" s="574">
        <f ca="1">'ЦС ( 2018) '!F10</f>
        <v>305283</v>
      </c>
      <c r="I127" s="574">
        <v>0</v>
      </c>
      <c r="J127" s="574">
        <v>0</v>
      </c>
      <c r="K127" s="575"/>
      <c r="L127" s="575"/>
    </row>
    <row r="128" spans="1:13" hidden="1">
      <c r="A128" s="1330" t="s">
        <v>12</v>
      </c>
      <c r="B128" s="1491"/>
      <c r="C128" s="306" t="s">
        <v>1368</v>
      </c>
      <c r="D128" s="306" t="s">
        <v>1369</v>
      </c>
      <c r="E128" s="268">
        <v>243</v>
      </c>
      <c r="F128" s="268"/>
      <c r="G128" s="268">
        <v>226</v>
      </c>
      <c r="H128" s="574"/>
      <c r="I128" s="574"/>
      <c r="J128" s="574"/>
      <c r="K128" s="575"/>
      <c r="L128" s="575"/>
    </row>
    <row r="129" spans="1:12" hidden="1">
      <c r="A129" s="1330" t="s">
        <v>13</v>
      </c>
      <c r="B129" s="1491"/>
      <c r="C129" s="306" t="s">
        <v>1368</v>
      </c>
      <c r="D129" s="306" t="s">
        <v>1369</v>
      </c>
      <c r="E129" s="268">
        <v>243</v>
      </c>
      <c r="F129" s="268"/>
      <c r="G129" s="268">
        <v>290</v>
      </c>
      <c r="H129" s="574"/>
      <c r="I129" s="574"/>
      <c r="J129" s="574"/>
      <c r="K129" s="575"/>
      <c r="L129" s="575"/>
    </row>
    <row r="130" spans="1:12" hidden="1">
      <c r="A130" s="1330" t="s">
        <v>14</v>
      </c>
      <c r="B130" s="1491"/>
      <c r="C130" s="306" t="s">
        <v>1368</v>
      </c>
      <c r="D130" s="306" t="s">
        <v>1369</v>
      </c>
      <c r="E130" s="268">
        <v>243</v>
      </c>
      <c r="F130" s="268"/>
      <c r="G130" s="268">
        <v>310</v>
      </c>
      <c r="H130" s="574"/>
      <c r="I130" s="574"/>
      <c r="J130" s="574"/>
      <c r="K130" s="575"/>
      <c r="L130" s="575"/>
    </row>
    <row r="131" spans="1:12" hidden="1">
      <c r="A131" s="1330" t="s">
        <v>15</v>
      </c>
      <c r="B131" s="1491"/>
      <c r="C131" s="306" t="s">
        <v>1368</v>
      </c>
      <c r="D131" s="306" t="s">
        <v>1369</v>
      </c>
      <c r="E131" s="268">
        <v>243</v>
      </c>
      <c r="F131" s="268"/>
      <c r="G131" s="268">
        <v>340</v>
      </c>
      <c r="H131" s="574"/>
      <c r="I131" s="574"/>
      <c r="J131" s="574"/>
      <c r="K131" s="575"/>
      <c r="L131" s="575"/>
    </row>
    <row r="132" spans="1:12" ht="31.5" hidden="1">
      <c r="A132" s="1330" t="s">
        <v>1092</v>
      </c>
      <c r="B132" s="1491"/>
      <c r="C132" s="306" t="s">
        <v>1368</v>
      </c>
      <c r="D132" s="306" t="s">
        <v>1369</v>
      </c>
      <c r="E132" s="268">
        <v>244</v>
      </c>
      <c r="F132" s="268"/>
      <c r="G132" s="268"/>
      <c r="H132" s="574">
        <f>H133+H134+H135+H136+H137+H138+H139+H140+H141</f>
        <v>0</v>
      </c>
      <c r="I132" s="574">
        <f>I133+I134+I135+I136+I137+I138+I139+I140+I141</f>
        <v>0</v>
      </c>
      <c r="J132" s="574">
        <f>J133+J134+J135+J136+J137+J138+J139+J140+J141</f>
        <v>0</v>
      </c>
      <c r="K132" s="575"/>
      <c r="L132" s="575"/>
    </row>
    <row r="133" spans="1:12" hidden="1">
      <c r="A133" s="1330" t="s">
        <v>16</v>
      </c>
      <c r="B133" s="1491"/>
      <c r="C133" s="306" t="s">
        <v>1368</v>
      </c>
      <c r="D133" s="306" t="s">
        <v>1369</v>
      </c>
      <c r="E133" s="268">
        <v>244</v>
      </c>
      <c r="F133" s="268"/>
      <c r="G133" s="268">
        <v>221</v>
      </c>
      <c r="H133" s="574"/>
      <c r="I133" s="574"/>
      <c r="J133" s="574"/>
      <c r="K133" s="575"/>
      <c r="L133" s="575"/>
    </row>
    <row r="134" spans="1:12" hidden="1">
      <c r="A134" s="1330" t="s">
        <v>9</v>
      </c>
      <c r="B134" s="1491"/>
      <c r="C134" s="306" t="s">
        <v>1368</v>
      </c>
      <c r="D134" s="306" t="s">
        <v>1369</v>
      </c>
      <c r="E134" s="268">
        <v>244</v>
      </c>
      <c r="F134" s="268"/>
      <c r="G134" s="268">
        <v>222</v>
      </c>
      <c r="H134" s="574"/>
      <c r="I134" s="574"/>
      <c r="J134" s="574"/>
      <c r="K134" s="575"/>
      <c r="L134" s="575"/>
    </row>
    <row r="135" spans="1:12" hidden="1">
      <c r="A135" s="1330" t="s">
        <v>17</v>
      </c>
      <c r="B135" s="1491"/>
      <c r="C135" s="306" t="s">
        <v>1368</v>
      </c>
      <c r="D135" s="306" t="s">
        <v>1369</v>
      </c>
      <c r="E135" s="268">
        <v>244</v>
      </c>
      <c r="F135" s="268"/>
      <c r="G135" s="268">
        <v>223</v>
      </c>
      <c r="H135" s="574"/>
      <c r="I135" s="574"/>
      <c r="J135" s="574"/>
      <c r="K135" s="575"/>
      <c r="L135" s="575"/>
    </row>
    <row r="136" spans="1:12" hidden="1">
      <c r="A136" s="1330" t="s">
        <v>10</v>
      </c>
      <c r="B136" s="1491"/>
      <c r="C136" s="306" t="s">
        <v>1368</v>
      </c>
      <c r="D136" s="306" t="s">
        <v>1369</v>
      </c>
      <c r="E136" s="268">
        <v>244</v>
      </c>
      <c r="F136" s="268"/>
      <c r="G136" s="268">
        <v>224</v>
      </c>
      <c r="H136" s="574"/>
      <c r="I136" s="574"/>
      <c r="J136" s="574"/>
      <c r="K136" s="575"/>
      <c r="L136" s="575"/>
    </row>
    <row r="137" spans="1:12" hidden="1">
      <c r="A137" s="1330" t="s">
        <v>11</v>
      </c>
      <c r="B137" s="1491"/>
      <c r="C137" s="306" t="s">
        <v>1368</v>
      </c>
      <c r="D137" s="306" t="s">
        <v>1369</v>
      </c>
      <c r="E137" s="268">
        <v>244</v>
      </c>
      <c r="F137" s="268"/>
      <c r="G137" s="268">
        <v>225</v>
      </c>
      <c r="H137" s="574"/>
      <c r="I137" s="574"/>
      <c r="J137" s="574"/>
      <c r="K137" s="575"/>
      <c r="L137" s="575"/>
    </row>
    <row r="138" spans="1:12" hidden="1">
      <c r="A138" s="1330" t="s">
        <v>12</v>
      </c>
      <c r="B138" s="1491"/>
      <c r="C138" s="306" t="s">
        <v>1368</v>
      </c>
      <c r="D138" s="306" t="s">
        <v>1369</v>
      </c>
      <c r="E138" s="268">
        <v>244</v>
      </c>
      <c r="F138" s="268"/>
      <c r="G138" s="268">
        <v>226</v>
      </c>
      <c r="H138" s="574"/>
      <c r="I138" s="574"/>
      <c r="J138" s="574"/>
      <c r="K138" s="575"/>
      <c r="L138" s="575"/>
    </row>
    <row r="139" spans="1:12" hidden="1">
      <c r="A139" s="1330" t="s">
        <v>1095</v>
      </c>
      <c r="B139" s="1491"/>
      <c r="C139" s="306" t="s">
        <v>1368</v>
      </c>
      <c r="D139" s="306" t="s">
        <v>1369</v>
      </c>
      <c r="E139" s="268">
        <v>244</v>
      </c>
      <c r="F139" s="268"/>
      <c r="G139" s="268">
        <v>290</v>
      </c>
      <c r="H139" s="574"/>
      <c r="I139" s="574"/>
      <c r="J139" s="574"/>
      <c r="K139" s="575"/>
      <c r="L139" s="575"/>
    </row>
    <row r="140" spans="1:12" hidden="1">
      <c r="A140" s="1330" t="s">
        <v>14</v>
      </c>
      <c r="B140" s="1491"/>
      <c r="C140" s="306" t="s">
        <v>1368</v>
      </c>
      <c r="D140" s="306" t="s">
        <v>1369</v>
      </c>
      <c r="E140" s="268">
        <v>244</v>
      </c>
      <c r="F140" s="268"/>
      <c r="G140" s="268">
        <v>310</v>
      </c>
      <c r="H140" s="574"/>
      <c r="I140" s="574"/>
      <c r="J140" s="574"/>
      <c r="K140" s="575"/>
      <c r="L140" s="575"/>
    </row>
    <row r="141" spans="1:12" hidden="1">
      <c r="A141" s="1330" t="s">
        <v>15</v>
      </c>
      <c r="B141" s="1492"/>
      <c r="C141" s="306"/>
      <c r="D141" s="306"/>
      <c r="E141" s="268">
        <v>244</v>
      </c>
      <c r="F141" s="268"/>
      <c r="G141" s="268">
        <v>340</v>
      </c>
      <c r="H141" s="574"/>
      <c r="I141" s="574"/>
      <c r="J141" s="574"/>
      <c r="K141" s="575"/>
      <c r="L141" s="575"/>
    </row>
    <row r="142" spans="1:12" ht="31.5" hidden="1">
      <c r="A142" s="1330" t="s">
        <v>1094</v>
      </c>
      <c r="B142" s="1490">
        <v>310</v>
      </c>
      <c r="C142" s="306"/>
      <c r="D142" s="306"/>
      <c r="E142" s="268">
        <v>240</v>
      </c>
      <c r="F142" s="268"/>
      <c r="G142" s="268"/>
      <c r="H142" s="574"/>
      <c r="I142" s="574"/>
      <c r="J142" s="574"/>
      <c r="K142" s="575"/>
      <c r="L142" s="575"/>
    </row>
    <row r="143" spans="1:12" hidden="1">
      <c r="A143" s="1330" t="s">
        <v>703</v>
      </c>
      <c r="B143" s="1491"/>
      <c r="C143" s="306"/>
      <c r="D143" s="306"/>
      <c r="E143" s="268"/>
      <c r="F143" s="268"/>
      <c r="G143" s="268"/>
      <c r="H143" s="574"/>
      <c r="I143" s="574"/>
      <c r="J143" s="574"/>
      <c r="K143" s="575"/>
      <c r="L143" s="575"/>
    </row>
    <row r="144" spans="1:12" hidden="1">
      <c r="A144" s="1330" t="s">
        <v>8</v>
      </c>
      <c r="B144" s="1492"/>
      <c r="C144" s="306"/>
      <c r="D144" s="306"/>
      <c r="E144" s="268">
        <v>244</v>
      </c>
      <c r="F144" s="268"/>
      <c r="G144" s="268">
        <v>290</v>
      </c>
      <c r="H144" s="574"/>
      <c r="I144" s="574"/>
      <c r="J144" s="574"/>
      <c r="K144" s="575"/>
      <c r="L144" s="575"/>
    </row>
    <row r="145" spans="1:13" ht="31.5" hidden="1">
      <c r="A145" s="1330" t="s">
        <v>1</v>
      </c>
      <c r="B145" s="1493">
        <v>320</v>
      </c>
      <c r="C145" s="306"/>
      <c r="D145" s="306"/>
      <c r="E145" s="268">
        <v>320</v>
      </c>
      <c r="F145" s="268"/>
      <c r="G145" s="268"/>
      <c r="H145" s="574"/>
      <c r="I145" s="574"/>
      <c r="J145" s="574"/>
      <c r="K145" s="575"/>
      <c r="L145" s="575"/>
    </row>
    <row r="146" spans="1:13" hidden="1">
      <c r="A146" s="1330" t="s">
        <v>703</v>
      </c>
      <c r="B146" s="1493"/>
      <c r="C146" s="306"/>
      <c r="D146" s="306"/>
      <c r="E146" s="268"/>
      <c r="F146" s="268"/>
      <c r="G146" s="268"/>
      <c r="H146" s="574"/>
      <c r="I146" s="574"/>
      <c r="J146" s="574"/>
      <c r="K146" s="575"/>
      <c r="L146" s="575"/>
      <c r="M146" s="530"/>
    </row>
    <row r="147" spans="1:13" ht="31.5" hidden="1">
      <c r="A147" s="1330" t="s">
        <v>1917</v>
      </c>
      <c r="B147" s="1493"/>
      <c r="C147" s="306"/>
      <c r="D147" s="306"/>
      <c r="E147" s="268">
        <v>321</v>
      </c>
      <c r="F147" s="268"/>
      <c r="G147" s="268">
        <v>262</v>
      </c>
      <c r="H147" s="574"/>
      <c r="I147" s="574"/>
      <c r="J147" s="574"/>
      <c r="K147" s="575"/>
      <c r="L147" s="575"/>
      <c r="M147" s="530"/>
    </row>
    <row r="148" spans="1:13" ht="31.5" hidden="1">
      <c r="A148" s="1330" t="s">
        <v>1093</v>
      </c>
      <c r="B148" s="1493"/>
      <c r="C148" s="306"/>
      <c r="D148" s="306"/>
      <c r="E148" s="268">
        <v>323</v>
      </c>
      <c r="F148" s="268"/>
      <c r="G148" s="268">
        <v>262</v>
      </c>
      <c r="H148" s="574"/>
      <c r="I148" s="574"/>
      <c r="J148" s="574"/>
      <c r="K148" s="575"/>
      <c r="L148" s="575"/>
      <c r="M148" s="530"/>
    </row>
    <row r="149" spans="1:13" hidden="1">
      <c r="A149" s="1330" t="s">
        <v>1089</v>
      </c>
      <c r="B149" s="1491">
        <v>330</v>
      </c>
      <c r="C149" s="306"/>
      <c r="D149" s="306"/>
      <c r="E149" s="268">
        <v>340</v>
      </c>
      <c r="F149" s="268"/>
      <c r="G149" s="268"/>
      <c r="H149" s="574"/>
      <c r="I149" s="574"/>
      <c r="J149" s="574"/>
      <c r="K149" s="575"/>
      <c r="L149" s="575"/>
    </row>
    <row r="150" spans="1:13" hidden="1">
      <c r="A150" s="1330" t="s">
        <v>703</v>
      </c>
      <c r="B150" s="1491"/>
      <c r="C150" s="306"/>
      <c r="D150" s="306"/>
      <c r="E150" s="268"/>
      <c r="F150" s="268"/>
      <c r="G150" s="268"/>
      <c r="H150" s="574"/>
      <c r="I150" s="574"/>
      <c r="J150" s="574"/>
      <c r="K150" s="575"/>
      <c r="L150" s="575"/>
    </row>
    <row r="151" spans="1:13" hidden="1">
      <c r="A151" s="1330" t="s">
        <v>1090</v>
      </c>
      <c r="B151" s="1492"/>
      <c r="C151" s="306"/>
      <c r="D151" s="306"/>
      <c r="E151" s="268">
        <v>340</v>
      </c>
      <c r="F151" s="268"/>
      <c r="G151" s="268">
        <v>290</v>
      </c>
      <c r="H151" s="574"/>
      <c r="I151" s="574"/>
      <c r="J151" s="574"/>
      <c r="K151" s="575"/>
      <c r="L151" s="575"/>
    </row>
    <row r="152" spans="1:13" ht="173.25">
      <c r="A152" s="1330" t="s">
        <v>2067</v>
      </c>
      <c r="B152" s="1338"/>
      <c r="C152" s="306" t="s">
        <v>712</v>
      </c>
      <c r="D152" s="306" t="s">
        <v>712</v>
      </c>
      <c r="E152" s="268" t="s">
        <v>712</v>
      </c>
      <c r="F152" s="268" t="s">
        <v>779</v>
      </c>
      <c r="G152" s="268"/>
      <c r="H152" s="574">
        <f>H153+H154+H155+H156</f>
        <v>393125</v>
      </c>
      <c r="I152" s="574">
        <f>I153+I154+I155+I156</f>
        <v>0</v>
      </c>
      <c r="J152" s="574">
        <f>J153+J154+J155+J156</f>
        <v>0</v>
      </c>
      <c r="K152" s="575"/>
      <c r="L152" s="575"/>
    </row>
    <row r="153" spans="1:13" hidden="1">
      <c r="A153" s="1330" t="s">
        <v>161</v>
      </c>
      <c r="B153" s="1493">
        <v>290</v>
      </c>
      <c r="C153" s="306"/>
      <c r="D153" s="306"/>
      <c r="E153" s="268">
        <v>110</v>
      </c>
      <c r="F153" s="268"/>
      <c r="G153" s="268"/>
      <c r="H153" s="574"/>
      <c r="I153" s="574"/>
      <c r="J153" s="574"/>
      <c r="K153" s="575"/>
      <c r="L153" s="575"/>
    </row>
    <row r="154" spans="1:13" ht="31.5" hidden="1">
      <c r="A154" s="1337" t="s">
        <v>0</v>
      </c>
      <c r="B154" s="1493"/>
      <c r="C154" s="306"/>
      <c r="D154" s="306"/>
      <c r="E154" s="268">
        <v>112</v>
      </c>
      <c r="F154" s="268"/>
      <c r="G154" s="268">
        <v>212</v>
      </c>
      <c r="H154" s="574"/>
      <c r="I154" s="574"/>
      <c r="J154" s="574"/>
      <c r="K154" s="575"/>
      <c r="L154" s="575"/>
    </row>
    <row r="155" spans="1:13" ht="31.5" hidden="1">
      <c r="A155" s="1337" t="s">
        <v>0</v>
      </c>
      <c r="B155" s="1493"/>
      <c r="C155" s="306"/>
      <c r="D155" s="306"/>
      <c r="E155" s="268">
        <v>112</v>
      </c>
      <c r="F155" s="268"/>
      <c r="G155" s="268">
        <v>222</v>
      </c>
      <c r="H155" s="574"/>
      <c r="I155" s="574"/>
      <c r="J155" s="574"/>
      <c r="K155" s="575"/>
      <c r="L155" s="575"/>
    </row>
    <row r="156" spans="1:13" ht="31.5">
      <c r="A156" s="1330" t="s">
        <v>1094</v>
      </c>
      <c r="B156" s="1490">
        <v>300</v>
      </c>
      <c r="C156" s="306" t="s">
        <v>1368</v>
      </c>
      <c r="D156" s="306" t="s">
        <v>1369</v>
      </c>
      <c r="E156" s="268">
        <v>240</v>
      </c>
      <c r="F156" s="268" t="s">
        <v>779</v>
      </c>
      <c r="G156" s="268"/>
      <c r="H156" s="574">
        <f>H161+H166</f>
        <v>393125</v>
      </c>
      <c r="I156" s="574">
        <f>I161+I166</f>
        <v>0</v>
      </c>
      <c r="J156" s="574">
        <f>J161+J166</f>
        <v>0</v>
      </c>
      <c r="K156" s="575"/>
      <c r="L156" s="575"/>
    </row>
    <row r="157" spans="1:13">
      <c r="A157" s="1330" t="s">
        <v>703</v>
      </c>
      <c r="B157" s="1491"/>
      <c r="C157" s="306"/>
      <c r="D157" s="306"/>
      <c r="E157" s="268"/>
      <c r="F157" s="268"/>
      <c r="G157" s="268"/>
      <c r="H157" s="574"/>
      <c r="I157" s="574"/>
      <c r="J157" s="574"/>
      <c r="K157" s="575"/>
      <c r="L157" s="575"/>
    </row>
    <row r="158" spans="1:13" ht="31.5" hidden="1">
      <c r="A158" s="1330" t="s">
        <v>154</v>
      </c>
      <c r="B158" s="1491"/>
      <c r="C158" s="306" t="s">
        <v>1368</v>
      </c>
      <c r="D158" s="306" t="s">
        <v>1369</v>
      </c>
      <c r="E158" s="268">
        <v>243</v>
      </c>
      <c r="F158" s="268" t="s">
        <v>779</v>
      </c>
      <c r="G158" s="268"/>
      <c r="H158" s="574">
        <f>H159+H160+H161+H162+H163+H164+H165</f>
        <v>0</v>
      </c>
      <c r="I158" s="574">
        <f>I159+I160+I161+I162+I163+I164+I165</f>
        <v>0</v>
      </c>
      <c r="J158" s="574">
        <f>J159+J160+J161+J162+J163+J164+J165</f>
        <v>0</v>
      </c>
      <c r="K158" s="575"/>
      <c r="L158" s="575"/>
    </row>
    <row r="159" spans="1:13" hidden="1">
      <c r="A159" s="1330" t="s">
        <v>9</v>
      </c>
      <c r="B159" s="1491"/>
      <c r="C159" s="306" t="s">
        <v>1368</v>
      </c>
      <c r="D159" s="306" t="s">
        <v>1369</v>
      </c>
      <c r="E159" s="268">
        <v>243</v>
      </c>
      <c r="F159" s="268"/>
      <c r="G159" s="268">
        <v>222</v>
      </c>
      <c r="H159" s="574"/>
      <c r="I159" s="574"/>
      <c r="J159" s="574"/>
      <c r="K159" s="575"/>
      <c r="L159" s="575"/>
    </row>
    <row r="160" spans="1:13" hidden="1">
      <c r="A160" s="1330" t="s">
        <v>10</v>
      </c>
      <c r="B160" s="1491"/>
      <c r="C160" s="306" t="s">
        <v>1368</v>
      </c>
      <c r="D160" s="306" t="s">
        <v>1369</v>
      </c>
      <c r="E160" s="268">
        <v>243</v>
      </c>
      <c r="F160" s="268"/>
      <c r="G160" s="268">
        <v>224</v>
      </c>
      <c r="H160" s="574"/>
      <c r="I160" s="574"/>
      <c r="J160" s="574"/>
      <c r="K160" s="575"/>
      <c r="L160" s="575"/>
    </row>
    <row r="161" spans="1:12" hidden="1">
      <c r="A161" s="1330" t="s">
        <v>11</v>
      </c>
      <c r="B161" s="1491"/>
      <c r="C161" s="306" t="s">
        <v>1368</v>
      </c>
      <c r="D161" s="306" t="s">
        <v>1369</v>
      </c>
      <c r="E161" s="268">
        <v>243</v>
      </c>
      <c r="F161" s="268" t="s">
        <v>779</v>
      </c>
      <c r="G161" s="268">
        <v>225</v>
      </c>
      <c r="H161" s="574"/>
      <c r="I161" s="574">
        <v>0</v>
      </c>
      <c r="J161" s="574">
        <v>0</v>
      </c>
      <c r="K161" s="575"/>
      <c r="L161" s="575"/>
    </row>
    <row r="162" spans="1:12" hidden="1">
      <c r="A162" s="1330" t="s">
        <v>12</v>
      </c>
      <c r="B162" s="1491"/>
      <c r="C162" s="306" t="s">
        <v>1368</v>
      </c>
      <c r="D162" s="306" t="s">
        <v>1369</v>
      </c>
      <c r="E162" s="268">
        <v>243</v>
      </c>
      <c r="F162" s="268" t="s">
        <v>779</v>
      </c>
      <c r="G162" s="268">
        <v>226</v>
      </c>
      <c r="H162" s="574"/>
      <c r="I162" s="574"/>
      <c r="J162" s="574"/>
      <c r="K162" s="575"/>
      <c r="L162" s="575"/>
    </row>
    <row r="163" spans="1:12" hidden="1">
      <c r="A163" s="1330" t="s">
        <v>13</v>
      </c>
      <c r="B163" s="1491"/>
      <c r="C163" s="306" t="s">
        <v>1368</v>
      </c>
      <c r="D163" s="306" t="s">
        <v>1369</v>
      </c>
      <c r="E163" s="268">
        <v>243</v>
      </c>
      <c r="F163" s="268"/>
      <c r="G163" s="268">
        <v>290</v>
      </c>
      <c r="H163" s="574"/>
      <c r="I163" s="574"/>
      <c r="J163" s="574"/>
      <c r="K163" s="575"/>
      <c r="L163" s="575"/>
    </row>
    <row r="164" spans="1:12" hidden="1">
      <c r="A164" s="1330" t="s">
        <v>14</v>
      </c>
      <c r="B164" s="1491"/>
      <c r="C164" s="306" t="s">
        <v>1368</v>
      </c>
      <c r="D164" s="306" t="s">
        <v>1369</v>
      </c>
      <c r="E164" s="268">
        <v>243</v>
      </c>
      <c r="F164" s="268"/>
      <c r="G164" s="268">
        <v>310</v>
      </c>
      <c r="H164" s="574"/>
      <c r="I164" s="574"/>
      <c r="J164" s="574"/>
      <c r="K164" s="575"/>
      <c r="L164" s="575"/>
    </row>
    <row r="165" spans="1:12" hidden="1">
      <c r="A165" s="1330" t="s">
        <v>15</v>
      </c>
      <c r="B165" s="1491"/>
      <c r="C165" s="306" t="s">
        <v>1368</v>
      </c>
      <c r="D165" s="306" t="s">
        <v>1369</v>
      </c>
      <c r="E165" s="268">
        <v>243</v>
      </c>
      <c r="F165" s="268"/>
      <c r="G165" s="268">
        <v>340</v>
      </c>
      <c r="H165" s="574"/>
      <c r="I165" s="574"/>
      <c r="J165" s="574"/>
      <c r="K165" s="575"/>
      <c r="L165" s="575"/>
    </row>
    <row r="166" spans="1:12" ht="31.5">
      <c r="A166" s="1330" t="s">
        <v>1092</v>
      </c>
      <c r="B166" s="1491"/>
      <c r="C166" s="306" t="s">
        <v>1368</v>
      </c>
      <c r="D166" s="306" t="s">
        <v>1369</v>
      </c>
      <c r="E166" s="268">
        <v>244</v>
      </c>
      <c r="F166" s="268"/>
      <c r="G166" s="268"/>
      <c r="H166" s="574">
        <f>H167+H168+H169+H170+H171+H172+H173+H174+H175</f>
        <v>393125</v>
      </c>
      <c r="I166" s="574">
        <f>I167+I168+I169+I170+I171+I172+I173+I174+I175</f>
        <v>0</v>
      </c>
      <c r="J166" s="574">
        <f>J167+J168+J169+J170+J171+J172+J173+J174+J175</f>
        <v>0</v>
      </c>
      <c r="K166" s="575"/>
      <c r="L166" s="575"/>
    </row>
    <row r="167" spans="1:12" hidden="1">
      <c r="A167" s="1330" t="s">
        <v>16</v>
      </c>
      <c r="B167" s="1491"/>
      <c r="C167" s="306" t="s">
        <v>1368</v>
      </c>
      <c r="D167" s="306" t="s">
        <v>1369</v>
      </c>
      <c r="E167" s="268">
        <v>244</v>
      </c>
      <c r="F167" s="268"/>
      <c r="G167" s="268">
        <v>221</v>
      </c>
      <c r="H167" s="574"/>
      <c r="I167" s="574"/>
      <c r="J167" s="574"/>
      <c r="K167" s="575"/>
      <c r="L167" s="575"/>
    </row>
    <row r="168" spans="1:12" hidden="1">
      <c r="A168" s="1330" t="s">
        <v>9</v>
      </c>
      <c r="B168" s="1491"/>
      <c r="C168" s="306" t="s">
        <v>1368</v>
      </c>
      <c r="D168" s="306" t="s">
        <v>1369</v>
      </c>
      <c r="E168" s="268">
        <v>244</v>
      </c>
      <c r="F168" s="268"/>
      <c r="G168" s="268">
        <v>222</v>
      </c>
      <c r="H168" s="574"/>
      <c r="I168" s="574"/>
      <c r="J168" s="574"/>
      <c r="K168" s="575"/>
      <c r="L168" s="575"/>
    </row>
    <row r="169" spans="1:12" hidden="1">
      <c r="A169" s="1330" t="s">
        <v>17</v>
      </c>
      <c r="B169" s="1491"/>
      <c r="C169" s="306" t="s">
        <v>1368</v>
      </c>
      <c r="D169" s="306" t="s">
        <v>1369</v>
      </c>
      <c r="E169" s="268">
        <v>244</v>
      </c>
      <c r="F169" s="268"/>
      <c r="G169" s="268">
        <v>223</v>
      </c>
      <c r="H169" s="574"/>
      <c r="I169" s="574"/>
      <c r="J169" s="574"/>
      <c r="K169" s="575"/>
      <c r="L169" s="575"/>
    </row>
    <row r="170" spans="1:12" hidden="1">
      <c r="A170" s="1330" t="s">
        <v>10</v>
      </c>
      <c r="B170" s="1491"/>
      <c r="C170" s="306" t="s">
        <v>1368</v>
      </c>
      <c r="D170" s="306" t="s">
        <v>1369</v>
      </c>
      <c r="E170" s="268">
        <v>244</v>
      </c>
      <c r="F170" s="268"/>
      <c r="G170" s="268">
        <v>224</v>
      </c>
      <c r="H170" s="574"/>
      <c r="I170" s="574"/>
      <c r="J170" s="574"/>
      <c r="K170" s="575"/>
      <c r="L170" s="575"/>
    </row>
    <row r="171" spans="1:12" hidden="1">
      <c r="A171" s="1330" t="s">
        <v>11</v>
      </c>
      <c r="B171" s="1491"/>
      <c r="C171" s="306" t="s">
        <v>1368</v>
      </c>
      <c r="D171" s="306" t="s">
        <v>1369</v>
      </c>
      <c r="E171" s="268">
        <v>244</v>
      </c>
      <c r="F171" s="268"/>
      <c r="G171" s="268">
        <v>225</v>
      </c>
      <c r="H171" s="574"/>
      <c r="I171" s="574"/>
      <c r="J171" s="574"/>
      <c r="K171" s="575"/>
      <c r="L171" s="575"/>
    </row>
    <row r="172" spans="1:12">
      <c r="A172" s="1330" t="s">
        <v>12</v>
      </c>
      <c r="B172" s="1491"/>
      <c r="C172" s="306" t="s">
        <v>1368</v>
      </c>
      <c r="D172" s="306" t="s">
        <v>1369</v>
      </c>
      <c r="E172" s="268">
        <v>244</v>
      </c>
      <c r="F172" s="268" t="s">
        <v>779</v>
      </c>
      <c r="G172" s="268">
        <v>226</v>
      </c>
      <c r="H172" s="574">
        <f ca="1">'ЦС ( 2018) '!F19</f>
        <v>315447.03000000003</v>
      </c>
      <c r="I172" s="574">
        <v>0</v>
      </c>
      <c r="J172" s="574">
        <v>0</v>
      </c>
      <c r="K172" s="575"/>
      <c r="L172" s="575"/>
    </row>
    <row r="173" spans="1:12" hidden="1">
      <c r="A173" s="1330" t="s">
        <v>1095</v>
      </c>
      <c r="B173" s="1491"/>
      <c r="C173" s="306" t="s">
        <v>1368</v>
      </c>
      <c r="D173" s="306" t="s">
        <v>1369</v>
      </c>
      <c r="E173" s="268">
        <v>244</v>
      </c>
      <c r="F173" s="268"/>
      <c r="G173" s="268">
        <v>290</v>
      </c>
      <c r="H173" s="574"/>
      <c r="I173" s="574"/>
      <c r="J173" s="574"/>
      <c r="K173" s="575"/>
      <c r="L173" s="575"/>
    </row>
    <row r="174" spans="1:12">
      <c r="A174" s="1330" t="s">
        <v>14</v>
      </c>
      <c r="B174" s="1491"/>
      <c r="C174" s="306" t="s">
        <v>1368</v>
      </c>
      <c r="D174" s="306" t="s">
        <v>1369</v>
      </c>
      <c r="E174" s="268">
        <v>244</v>
      </c>
      <c r="F174" s="268" t="s">
        <v>779</v>
      </c>
      <c r="G174" s="268">
        <v>310</v>
      </c>
      <c r="H174" s="574">
        <f ca="1">'ЦС ( 2018) '!F20</f>
        <v>77677.97</v>
      </c>
      <c r="I174" s="574">
        <v>0</v>
      </c>
      <c r="J174" s="574">
        <v>0</v>
      </c>
      <c r="K174" s="575"/>
      <c r="L174" s="575"/>
    </row>
    <row r="175" spans="1:12" hidden="1">
      <c r="A175" s="1330" t="s">
        <v>15</v>
      </c>
      <c r="B175" s="1492"/>
      <c r="C175" s="306"/>
      <c r="D175" s="306"/>
      <c r="E175" s="268">
        <v>244</v>
      </c>
      <c r="F175" s="268"/>
      <c r="G175" s="268">
        <v>340</v>
      </c>
      <c r="H175" s="574"/>
      <c r="I175" s="574"/>
      <c r="J175" s="574"/>
      <c r="K175" s="575"/>
      <c r="L175" s="575"/>
    </row>
    <row r="176" spans="1:12" ht="31.5" hidden="1">
      <c r="A176" s="1330" t="s">
        <v>1094</v>
      </c>
      <c r="B176" s="1490">
        <v>310</v>
      </c>
      <c r="C176" s="306"/>
      <c r="D176" s="306"/>
      <c r="E176" s="268">
        <v>240</v>
      </c>
      <c r="F176" s="268"/>
      <c r="G176" s="268"/>
      <c r="H176" s="574"/>
      <c r="I176" s="574"/>
      <c r="J176" s="574"/>
      <c r="K176" s="575"/>
      <c r="L176" s="575"/>
    </row>
    <row r="177" spans="1:13" hidden="1">
      <c r="A177" s="1330" t="s">
        <v>703</v>
      </c>
      <c r="B177" s="1491"/>
      <c r="C177" s="306"/>
      <c r="D177" s="306"/>
      <c r="E177" s="268"/>
      <c r="F177" s="268"/>
      <c r="G177" s="268"/>
      <c r="H177" s="574"/>
      <c r="I177" s="574"/>
      <c r="J177" s="574"/>
      <c r="K177" s="575"/>
      <c r="L177" s="575"/>
    </row>
    <row r="178" spans="1:13" hidden="1">
      <c r="A178" s="1330" t="s">
        <v>8</v>
      </c>
      <c r="B178" s="1492"/>
      <c r="C178" s="306"/>
      <c r="D178" s="306"/>
      <c r="E178" s="268">
        <v>244</v>
      </c>
      <c r="F178" s="268"/>
      <c r="G178" s="268">
        <v>290</v>
      </c>
      <c r="H178" s="574"/>
      <c r="I178" s="574"/>
      <c r="J178" s="574"/>
      <c r="K178" s="575"/>
      <c r="L178" s="575"/>
    </row>
    <row r="179" spans="1:13" ht="31.5" hidden="1">
      <c r="A179" s="1330" t="s">
        <v>1</v>
      </c>
      <c r="B179" s="1493">
        <v>320</v>
      </c>
      <c r="C179" s="306"/>
      <c r="D179" s="306"/>
      <c r="E179" s="268">
        <v>320</v>
      </c>
      <c r="F179" s="268"/>
      <c r="G179" s="268"/>
      <c r="H179" s="574"/>
      <c r="I179" s="574"/>
      <c r="J179" s="574"/>
      <c r="K179" s="575"/>
      <c r="L179" s="575"/>
    </row>
    <row r="180" spans="1:13" hidden="1">
      <c r="A180" s="1330" t="s">
        <v>703</v>
      </c>
      <c r="B180" s="1493"/>
      <c r="C180" s="306"/>
      <c r="D180" s="306"/>
      <c r="E180" s="268"/>
      <c r="F180" s="268"/>
      <c r="G180" s="268"/>
      <c r="H180" s="574"/>
      <c r="I180" s="574"/>
      <c r="J180" s="574"/>
      <c r="K180" s="575"/>
      <c r="L180" s="575"/>
      <c r="M180" s="530"/>
    </row>
    <row r="181" spans="1:13" ht="31.5" hidden="1">
      <c r="A181" s="1330" t="s">
        <v>1917</v>
      </c>
      <c r="B181" s="1493"/>
      <c r="C181" s="306"/>
      <c r="D181" s="306"/>
      <c r="E181" s="268">
        <v>321</v>
      </c>
      <c r="F181" s="268"/>
      <c r="G181" s="268">
        <v>262</v>
      </c>
      <c r="H181" s="574"/>
      <c r="I181" s="574"/>
      <c r="J181" s="574"/>
      <c r="K181" s="575"/>
      <c r="L181" s="575"/>
      <c r="M181" s="530"/>
    </row>
    <row r="182" spans="1:13" ht="31.5" hidden="1">
      <c r="A182" s="1330" t="s">
        <v>1093</v>
      </c>
      <c r="B182" s="1493"/>
      <c r="C182" s="306"/>
      <c r="D182" s="306"/>
      <c r="E182" s="268">
        <v>323</v>
      </c>
      <c r="F182" s="268"/>
      <c r="G182" s="268">
        <v>262</v>
      </c>
      <c r="H182" s="574"/>
      <c r="I182" s="574"/>
      <c r="J182" s="574"/>
      <c r="K182" s="575"/>
      <c r="L182" s="575"/>
      <c r="M182" s="530"/>
    </row>
    <row r="183" spans="1:13" hidden="1">
      <c r="A183" s="1330" t="s">
        <v>1089</v>
      </c>
      <c r="B183" s="1491">
        <v>330</v>
      </c>
      <c r="C183" s="306"/>
      <c r="D183" s="306"/>
      <c r="E183" s="268">
        <v>340</v>
      </c>
      <c r="F183" s="268"/>
      <c r="G183" s="268"/>
      <c r="H183" s="574"/>
      <c r="I183" s="574"/>
      <c r="J183" s="574"/>
      <c r="K183" s="575"/>
      <c r="L183" s="575"/>
    </row>
    <row r="184" spans="1:13" hidden="1">
      <c r="A184" s="1330" t="s">
        <v>703</v>
      </c>
      <c r="B184" s="1491"/>
      <c r="C184" s="306"/>
      <c r="D184" s="306"/>
      <c r="E184" s="268"/>
      <c r="F184" s="268"/>
      <c r="G184" s="268"/>
      <c r="H184" s="574"/>
      <c r="I184" s="574"/>
      <c r="J184" s="574"/>
      <c r="K184" s="575"/>
      <c r="L184" s="575"/>
    </row>
    <row r="185" spans="1:13" hidden="1">
      <c r="A185" s="1330" t="s">
        <v>1090</v>
      </c>
      <c r="B185" s="1492"/>
      <c r="C185" s="306"/>
      <c r="D185" s="306"/>
      <c r="E185" s="268">
        <v>340</v>
      </c>
      <c r="F185" s="268"/>
      <c r="G185" s="268">
        <v>290</v>
      </c>
      <c r="H185" s="574"/>
      <c r="I185" s="574"/>
      <c r="J185" s="574"/>
      <c r="K185" s="575"/>
      <c r="L185" s="575"/>
    </row>
    <row r="186" spans="1:13" hidden="1">
      <c r="A186" s="1333" t="s">
        <v>148</v>
      </c>
      <c r="B186" s="1336"/>
      <c r="C186" s="306" t="s">
        <v>712</v>
      </c>
      <c r="D186" s="306" t="s">
        <v>712</v>
      </c>
      <c r="E186" s="268" t="s">
        <v>712</v>
      </c>
      <c r="F186" s="268" t="s">
        <v>712</v>
      </c>
      <c r="G186" s="268"/>
      <c r="H186" s="574"/>
      <c r="I186" s="574"/>
      <c r="J186" s="574"/>
      <c r="K186" s="575"/>
      <c r="L186" s="575"/>
    </row>
    <row r="187" spans="1:13" hidden="1">
      <c r="A187" s="1330" t="s">
        <v>945</v>
      </c>
      <c r="B187" s="1339"/>
      <c r="C187" s="306"/>
      <c r="D187" s="306"/>
      <c r="E187" s="268">
        <v>400</v>
      </c>
      <c r="F187" s="268"/>
      <c r="G187" s="268"/>
      <c r="H187" s="574"/>
      <c r="I187" s="574"/>
      <c r="J187" s="574"/>
      <c r="K187" s="575"/>
      <c r="L187" s="575"/>
    </row>
    <row r="188" spans="1:13" hidden="1">
      <c r="A188" s="1330" t="s">
        <v>1091</v>
      </c>
      <c r="B188" s="1491">
        <v>340</v>
      </c>
      <c r="C188" s="306"/>
      <c r="D188" s="306"/>
      <c r="E188" s="268">
        <v>410</v>
      </c>
      <c r="F188" s="268"/>
      <c r="G188" s="268"/>
      <c r="H188" s="574"/>
      <c r="I188" s="574"/>
      <c r="J188" s="574"/>
      <c r="K188" s="575"/>
      <c r="L188" s="575"/>
    </row>
    <row r="189" spans="1:13" ht="110.25" hidden="1">
      <c r="A189" s="1330" t="s">
        <v>947</v>
      </c>
      <c r="B189" s="1491"/>
      <c r="C189" s="306"/>
      <c r="D189" s="306"/>
      <c r="E189" s="268" t="s">
        <v>946</v>
      </c>
      <c r="F189" s="268"/>
      <c r="G189" s="268"/>
      <c r="H189" s="574"/>
      <c r="I189" s="574"/>
      <c r="J189" s="574"/>
      <c r="K189" s="575"/>
      <c r="L189" s="575"/>
    </row>
    <row r="190" spans="1:13" hidden="1">
      <c r="A190" s="1330" t="s">
        <v>703</v>
      </c>
      <c r="B190" s="1491"/>
      <c r="C190" s="306"/>
      <c r="D190" s="306"/>
      <c r="E190" s="268"/>
      <c r="F190" s="268"/>
      <c r="G190" s="268"/>
      <c r="H190" s="574"/>
      <c r="I190" s="574"/>
      <c r="J190" s="574"/>
      <c r="K190" s="575"/>
      <c r="L190" s="575"/>
    </row>
    <row r="191" spans="1:13" ht="31.5" hidden="1">
      <c r="A191" s="1330" t="s">
        <v>9</v>
      </c>
      <c r="B191" s="1491"/>
      <c r="C191" s="306"/>
      <c r="D191" s="306"/>
      <c r="E191" s="268" t="s">
        <v>946</v>
      </c>
      <c r="F191" s="268"/>
      <c r="G191" s="268">
        <v>222</v>
      </c>
      <c r="H191" s="574"/>
      <c r="I191" s="574"/>
      <c r="J191" s="574"/>
      <c r="K191" s="575"/>
      <c r="L191" s="575"/>
    </row>
    <row r="192" spans="1:13" ht="31.5" hidden="1">
      <c r="A192" s="1330" t="s">
        <v>10</v>
      </c>
      <c r="B192" s="1491"/>
      <c r="C192" s="306"/>
      <c r="D192" s="306"/>
      <c r="E192" s="268" t="s">
        <v>946</v>
      </c>
      <c r="F192" s="268"/>
      <c r="G192" s="268">
        <v>224</v>
      </c>
      <c r="H192" s="574"/>
      <c r="I192" s="574"/>
      <c r="J192" s="574"/>
      <c r="K192" s="575"/>
      <c r="L192" s="575"/>
    </row>
    <row r="193" spans="1:12" ht="31.5" hidden="1">
      <c r="A193" s="1330" t="s">
        <v>12</v>
      </c>
      <c r="B193" s="1491"/>
      <c r="C193" s="306"/>
      <c r="D193" s="306"/>
      <c r="E193" s="268" t="s">
        <v>946</v>
      </c>
      <c r="F193" s="268"/>
      <c r="G193" s="268">
        <v>226</v>
      </c>
      <c r="H193" s="574"/>
      <c r="I193" s="574"/>
      <c r="J193" s="574"/>
      <c r="K193" s="575"/>
      <c r="L193" s="575"/>
    </row>
    <row r="194" spans="1:12" ht="31.5" hidden="1">
      <c r="A194" s="1330" t="s">
        <v>13</v>
      </c>
      <c r="B194" s="1491"/>
      <c r="C194" s="306"/>
      <c r="D194" s="306"/>
      <c r="E194" s="268" t="s">
        <v>946</v>
      </c>
      <c r="F194" s="268"/>
      <c r="G194" s="268">
        <v>290</v>
      </c>
      <c r="H194" s="574"/>
      <c r="I194" s="574"/>
      <c r="J194" s="574"/>
      <c r="K194" s="575"/>
      <c r="L194" s="575"/>
    </row>
    <row r="195" spans="1:12" ht="31.5" hidden="1">
      <c r="A195" s="1330" t="s">
        <v>14</v>
      </c>
      <c r="B195" s="1491"/>
      <c r="C195" s="306"/>
      <c r="D195" s="306"/>
      <c r="E195" s="268" t="s">
        <v>946</v>
      </c>
      <c r="F195" s="268"/>
      <c r="G195" s="268">
        <v>310</v>
      </c>
      <c r="H195" s="574"/>
      <c r="I195" s="574"/>
      <c r="J195" s="574"/>
      <c r="K195" s="575"/>
      <c r="L195" s="575"/>
    </row>
    <row r="196" spans="1:12" ht="31.5" hidden="1">
      <c r="A196" s="1330" t="s">
        <v>15</v>
      </c>
      <c r="B196" s="1492"/>
      <c r="C196" s="306"/>
      <c r="D196" s="306"/>
      <c r="E196" s="268" t="s">
        <v>946</v>
      </c>
      <c r="F196" s="268"/>
      <c r="G196" s="268">
        <v>340</v>
      </c>
      <c r="H196" s="574"/>
      <c r="I196" s="574"/>
      <c r="J196" s="574"/>
      <c r="K196" s="575"/>
      <c r="L196" s="575"/>
    </row>
    <row r="197" spans="1:12" ht="42" hidden="1" customHeight="1">
      <c r="A197" s="1330" t="s">
        <v>147</v>
      </c>
      <c r="B197" s="1338"/>
      <c r="C197" s="306" t="s">
        <v>712</v>
      </c>
      <c r="D197" s="306" t="s">
        <v>712</v>
      </c>
      <c r="E197" s="268" t="s">
        <v>712</v>
      </c>
      <c r="F197" s="306" t="s">
        <v>1151</v>
      </c>
      <c r="G197" s="268" t="s">
        <v>712</v>
      </c>
      <c r="H197" s="574">
        <f>H221+H232</f>
        <v>0</v>
      </c>
      <c r="I197" s="574">
        <f>I221+I232</f>
        <v>0</v>
      </c>
      <c r="J197" s="574">
        <f>J221+J232</f>
        <v>0</v>
      </c>
      <c r="K197" s="575"/>
      <c r="L197" s="575"/>
    </row>
    <row r="198" spans="1:12" hidden="1">
      <c r="A198" s="1330" t="s">
        <v>1295</v>
      </c>
      <c r="B198" s="1336"/>
      <c r="C198" s="306"/>
      <c r="D198" s="306"/>
      <c r="E198" s="268"/>
      <c r="F198" s="268"/>
      <c r="G198" s="268"/>
      <c r="H198" s="574"/>
      <c r="I198" s="574"/>
      <c r="J198" s="574"/>
      <c r="K198" s="575"/>
      <c r="L198" s="575"/>
    </row>
    <row r="199" spans="1:12" ht="15.75" hidden="1" customHeight="1">
      <c r="A199" s="692" t="s">
        <v>1085</v>
      </c>
      <c r="B199" s="1336"/>
      <c r="C199" s="306" t="s">
        <v>712</v>
      </c>
      <c r="D199" s="306" t="s">
        <v>712</v>
      </c>
      <c r="E199" s="268"/>
      <c r="F199" s="268"/>
      <c r="G199" s="268" t="s">
        <v>712</v>
      </c>
      <c r="H199" s="574"/>
      <c r="I199" s="574"/>
      <c r="J199" s="574"/>
      <c r="K199" s="575"/>
      <c r="L199" s="575"/>
    </row>
    <row r="200" spans="1:12" ht="15.75" hidden="1" customHeight="1">
      <c r="A200" s="1330" t="s">
        <v>703</v>
      </c>
      <c r="B200" s="1336"/>
      <c r="C200" s="306"/>
      <c r="D200" s="306"/>
      <c r="E200" s="268"/>
      <c r="F200" s="268"/>
      <c r="G200" s="268"/>
      <c r="H200" s="574"/>
      <c r="I200" s="574"/>
      <c r="J200" s="574"/>
      <c r="K200" s="575"/>
      <c r="L200" s="575"/>
    </row>
    <row r="201" spans="1:12" ht="15.75" hidden="1" customHeight="1">
      <c r="A201" s="1330" t="s">
        <v>161</v>
      </c>
      <c r="B201" s="1490">
        <v>350</v>
      </c>
      <c r="C201" s="306" t="s">
        <v>712</v>
      </c>
      <c r="D201" s="306" t="s">
        <v>712</v>
      </c>
      <c r="E201" s="268">
        <v>110</v>
      </c>
      <c r="F201" s="268"/>
      <c r="G201" s="268"/>
      <c r="H201" s="574"/>
      <c r="I201" s="574"/>
      <c r="J201" s="574"/>
      <c r="K201" s="575"/>
      <c r="L201" s="575"/>
    </row>
    <row r="202" spans="1:12" ht="15.75" hidden="1" customHeight="1">
      <c r="A202" s="1337" t="s">
        <v>703</v>
      </c>
      <c r="B202" s="1491"/>
      <c r="C202" s="306"/>
      <c r="D202" s="306"/>
      <c r="E202" s="268"/>
      <c r="F202" s="268"/>
      <c r="G202" s="268"/>
      <c r="H202" s="574"/>
      <c r="I202" s="574"/>
      <c r="J202" s="574"/>
      <c r="K202" s="575"/>
      <c r="L202" s="575"/>
    </row>
    <row r="203" spans="1:12" ht="15.75" hidden="1" customHeight="1">
      <c r="A203" s="1337" t="s">
        <v>159</v>
      </c>
      <c r="B203" s="1491"/>
      <c r="C203" s="306" t="s">
        <v>712</v>
      </c>
      <c r="D203" s="306" t="s">
        <v>712</v>
      </c>
      <c r="E203" s="268">
        <v>111</v>
      </c>
      <c r="F203" s="268"/>
      <c r="G203" s="268">
        <v>211</v>
      </c>
      <c r="H203" s="574"/>
      <c r="I203" s="574"/>
      <c r="J203" s="574"/>
      <c r="K203" s="575"/>
      <c r="L203" s="575"/>
    </row>
    <row r="204" spans="1:12" ht="31.5" hidden="1" customHeight="1">
      <c r="A204" s="1337" t="s">
        <v>0</v>
      </c>
      <c r="B204" s="1491"/>
      <c r="C204" s="306" t="s">
        <v>712</v>
      </c>
      <c r="D204" s="306" t="s">
        <v>712</v>
      </c>
      <c r="E204" s="268">
        <v>112</v>
      </c>
      <c r="F204" s="268"/>
      <c r="G204" s="268">
        <v>212</v>
      </c>
      <c r="H204" s="574"/>
      <c r="I204" s="574"/>
      <c r="J204" s="574"/>
      <c r="K204" s="575"/>
      <c r="L204" s="575"/>
    </row>
    <row r="205" spans="1:12" ht="31.5" hidden="1" customHeight="1">
      <c r="A205" s="1337" t="s">
        <v>0</v>
      </c>
      <c r="B205" s="1491"/>
      <c r="C205" s="306" t="s">
        <v>712</v>
      </c>
      <c r="D205" s="306" t="s">
        <v>712</v>
      </c>
      <c r="E205" s="268">
        <v>112</v>
      </c>
      <c r="F205" s="268"/>
      <c r="G205" s="268">
        <v>222</v>
      </c>
      <c r="H205" s="574"/>
      <c r="I205" s="574"/>
      <c r="J205" s="574"/>
      <c r="K205" s="575"/>
      <c r="L205" s="575"/>
    </row>
    <row r="206" spans="1:12" ht="31.5" hidden="1" customHeight="1">
      <c r="A206" s="1337" t="s">
        <v>0</v>
      </c>
      <c r="B206" s="1491"/>
      <c r="C206" s="306" t="s">
        <v>712</v>
      </c>
      <c r="D206" s="306" t="s">
        <v>712</v>
      </c>
      <c r="E206" s="268">
        <v>112</v>
      </c>
      <c r="F206" s="268"/>
      <c r="G206" s="268">
        <v>262</v>
      </c>
      <c r="H206" s="574"/>
      <c r="I206" s="574"/>
      <c r="J206" s="574"/>
      <c r="K206" s="575"/>
      <c r="L206" s="575"/>
    </row>
    <row r="207" spans="1:12" ht="31.5" hidden="1" customHeight="1">
      <c r="A207" s="1337" t="s">
        <v>0</v>
      </c>
      <c r="B207" s="1491"/>
      <c r="C207" s="306" t="s">
        <v>712</v>
      </c>
      <c r="D207" s="306" t="s">
        <v>712</v>
      </c>
      <c r="E207" s="268">
        <v>112</v>
      </c>
      <c r="F207" s="268"/>
      <c r="G207" s="268">
        <v>290</v>
      </c>
      <c r="H207" s="574"/>
      <c r="I207" s="574"/>
      <c r="J207" s="574"/>
      <c r="K207" s="575"/>
      <c r="L207" s="575"/>
    </row>
    <row r="208" spans="1:12" ht="47.25" hidden="1" customHeight="1">
      <c r="A208" s="1337" t="s">
        <v>715</v>
      </c>
      <c r="B208" s="1491"/>
      <c r="C208" s="306" t="s">
        <v>712</v>
      </c>
      <c r="D208" s="306" t="s">
        <v>712</v>
      </c>
      <c r="E208" s="268">
        <v>119</v>
      </c>
      <c r="F208" s="268"/>
      <c r="G208" s="268">
        <v>213</v>
      </c>
      <c r="H208" s="574"/>
      <c r="I208" s="574"/>
      <c r="J208" s="574"/>
      <c r="K208" s="575"/>
      <c r="L208" s="575"/>
    </row>
    <row r="209" spans="1:12" ht="31.5" hidden="1" customHeight="1">
      <c r="A209" s="1337" t="s">
        <v>160</v>
      </c>
      <c r="B209" s="1492"/>
      <c r="C209" s="306" t="s">
        <v>712</v>
      </c>
      <c r="D209" s="306" t="s">
        <v>712</v>
      </c>
      <c r="E209" s="268">
        <v>119</v>
      </c>
      <c r="F209" s="268"/>
      <c r="G209" s="268">
        <v>262</v>
      </c>
      <c r="H209" s="574"/>
      <c r="I209" s="574"/>
      <c r="J209" s="574"/>
      <c r="K209" s="575"/>
      <c r="L209" s="575"/>
    </row>
    <row r="210" spans="1:12" ht="31.5" hidden="1" customHeight="1">
      <c r="A210" s="1330" t="s">
        <v>157</v>
      </c>
      <c r="B210" s="1493">
        <v>360</v>
      </c>
      <c r="C210" s="306"/>
      <c r="D210" s="306"/>
      <c r="E210" s="268">
        <v>240</v>
      </c>
      <c r="F210" s="268"/>
      <c r="G210" s="268"/>
      <c r="H210" s="574"/>
      <c r="I210" s="574"/>
      <c r="J210" s="574"/>
      <c r="K210" s="575"/>
      <c r="L210" s="575"/>
    </row>
    <row r="211" spans="1:12" ht="15.75" hidden="1" customHeight="1">
      <c r="A211" s="1337" t="s">
        <v>703</v>
      </c>
      <c r="B211" s="1493"/>
      <c r="C211" s="306"/>
      <c r="D211" s="306"/>
      <c r="E211" s="268"/>
      <c r="F211" s="268"/>
      <c r="G211" s="268"/>
      <c r="H211" s="574"/>
      <c r="I211" s="574"/>
      <c r="J211" s="574"/>
      <c r="K211" s="575"/>
      <c r="L211" s="575"/>
    </row>
    <row r="212" spans="1:12" ht="15.75" hidden="1" customHeight="1">
      <c r="A212" s="1330" t="s">
        <v>16</v>
      </c>
      <c r="B212" s="1493"/>
      <c r="C212" s="306"/>
      <c r="D212" s="306"/>
      <c r="E212" s="268">
        <v>244</v>
      </c>
      <c r="F212" s="268"/>
      <c r="G212" s="268">
        <v>221</v>
      </c>
      <c r="H212" s="574"/>
      <c r="I212" s="574"/>
      <c r="J212" s="574"/>
      <c r="K212" s="575"/>
      <c r="L212" s="575"/>
    </row>
    <row r="213" spans="1:12" ht="15.75" hidden="1" customHeight="1">
      <c r="A213" s="1330" t="s">
        <v>9</v>
      </c>
      <c r="B213" s="1493"/>
      <c r="C213" s="306" t="s">
        <v>712</v>
      </c>
      <c r="D213" s="306" t="s">
        <v>712</v>
      </c>
      <c r="E213" s="268">
        <v>244</v>
      </c>
      <c r="F213" s="268"/>
      <c r="G213" s="268">
        <v>222</v>
      </c>
      <c r="H213" s="574"/>
      <c r="I213" s="574"/>
      <c r="J213" s="574"/>
      <c r="K213" s="575"/>
      <c r="L213" s="575"/>
    </row>
    <row r="214" spans="1:12" ht="15.75" hidden="1" customHeight="1">
      <c r="A214" s="1330" t="s">
        <v>17</v>
      </c>
      <c r="B214" s="1493"/>
      <c r="C214" s="306" t="s">
        <v>712</v>
      </c>
      <c r="D214" s="306" t="s">
        <v>712</v>
      </c>
      <c r="E214" s="268">
        <v>244</v>
      </c>
      <c r="F214" s="268"/>
      <c r="G214" s="268">
        <v>223</v>
      </c>
      <c r="H214" s="574"/>
      <c r="I214" s="574"/>
      <c r="J214" s="574"/>
      <c r="K214" s="575"/>
      <c r="L214" s="575"/>
    </row>
    <row r="215" spans="1:12" ht="15.75" hidden="1" customHeight="1">
      <c r="A215" s="1330" t="s">
        <v>10</v>
      </c>
      <c r="B215" s="1493"/>
      <c r="C215" s="306" t="s">
        <v>712</v>
      </c>
      <c r="D215" s="306" t="s">
        <v>712</v>
      </c>
      <c r="E215" s="268">
        <v>244</v>
      </c>
      <c r="F215" s="268"/>
      <c r="G215" s="268">
        <v>224</v>
      </c>
      <c r="H215" s="574"/>
      <c r="I215" s="574"/>
      <c r="J215" s="574"/>
      <c r="K215" s="575"/>
      <c r="L215" s="575"/>
    </row>
    <row r="216" spans="1:12" ht="15.75" hidden="1" customHeight="1">
      <c r="A216" s="1330" t="s">
        <v>11</v>
      </c>
      <c r="B216" s="1493"/>
      <c r="C216" s="306" t="s">
        <v>712</v>
      </c>
      <c r="D216" s="306" t="s">
        <v>712</v>
      </c>
      <c r="E216" s="268">
        <v>244</v>
      </c>
      <c r="F216" s="268"/>
      <c r="G216" s="268">
        <v>225</v>
      </c>
      <c r="H216" s="574"/>
      <c r="I216" s="574"/>
      <c r="J216" s="574"/>
      <c r="K216" s="575"/>
      <c r="L216" s="575"/>
    </row>
    <row r="217" spans="1:12" ht="15.75" hidden="1" customHeight="1">
      <c r="A217" s="1330" t="s">
        <v>12</v>
      </c>
      <c r="B217" s="1493"/>
      <c r="C217" s="306" t="s">
        <v>712</v>
      </c>
      <c r="D217" s="306" t="s">
        <v>712</v>
      </c>
      <c r="E217" s="268">
        <v>244</v>
      </c>
      <c r="F217" s="268"/>
      <c r="G217" s="268">
        <v>226</v>
      </c>
      <c r="H217" s="574"/>
      <c r="I217" s="574"/>
      <c r="J217" s="574"/>
      <c r="K217" s="575"/>
      <c r="L217" s="575"/>
    </row>
    <row r="218" spans="1:12" ht="15.75" hidden="1" customHeight="1">
      <c r="A218" s="1330" t="s">
        <v>13</v>
      </c>
      <c r="B218" s="1493"/>
      <c r="C218" s="306" t="s">
        <v>712</v>
      </c>
      <c r="D218" s="306" t="s">
        <v>712</v>
      </c>
      <c r="E218" s="268">
        <v>244</v>
      </c>
      <c r="F218" s="268"/>
      <c r="G218" s="268">
        <v>290</v>
      </c>
      <c r="H218" s="574"/>
      <c r="I218" s="574"/>
      <c r="J218" s="574"/>
      <c r="K218" s="575"/>
      <c r="L218" s="575"/>
    </row>
    <row r="219" spans="1:12" ht="15.75" hidden="1" customHeight="1">
      <c r="A219" s="1330" t="s">
        <v>14</v>
      </c>
      <c r="B219" s="1493"/>
      <c r="C219" s="306" t="s">
        <v>712</v>
      </c>
      <c r="D219" s="306" t="s">
        <v>712</v>
      </c>
      <c r="E219" s="268">
        <v>244</v>
      </c>
      <c r="F219" s="268"/>
      <c r="G219" s="268">
        <v>310</v>
      </c>
      <c r="H219" s="574"/>
      <c r="I219" s="574"/>
      <c r="J219" s="574"/>
      <c r="K219" s="575"/>
      <c r="L219" s="575"/>
    </row>
    <row r="220" spans="1:12" ht="15.75" hidden="1" customHeight="1">
      <c r="A220" s="1330" t="s">
        <v>15</v>
      </c>
      <c r="B220" s="1493"/>
      <c r="C220" s="306" t="s">
        <v>712</v>
      </c>
      <c r="D220" s="306" t="s">
        <v>712</v>
      </c>
      <c r="E220" s="268">
        <v>244</v>
      </c>
      <c r="F220" s="268"/>
      <c r="G220" s="268">
        <v>340</v>
      </c>
      <c r="H220" s="574"/>
      <c r="I220" s="574"/>
      <c r="J220" s="574"/>
      <c r="K220" s="575"/>
      <c r="L220" s="575"/>
    </row>
    <row r="221" spans="1:12" ht="47.25" hidden="1">
      <c r="A221" s="1330" t="s">
        <v>1087</v>
      </c>
      <c r="B221" s="1336"/>
      <c r="C221" s="306" t="s">
        <v>712</v>
      </c>
      <c r="D221" s="306" t="s">
        <v>712</v>
      </c>
      <c r="E221" s="268" t="s">
        <v>712</v>
      </c>
      <c r="F221" s="268"/>
      <c r="G221" s="268" t="s">
        <v>712</v>
      </c>
      <c r="H221" s="574"/>
      <c r="I221" s="574"/>
      <c r="J221" s="574"/>
      <c r="K221" s="575"/>
      <c r="L221" s="575"/>
    </row>
    <row r="222" spans="1:12" hidden="1">
      <c r="A222" s="1330" t="s">
        <v>703</v>
      </c>
      <c r="B222" s="1336"/>
      <c r="C222" s="306"/>
      <c r="D222" s="306"/>
      <c r="E222" s="268"/>
      <c r="F222" s="268"/>
      <c r="G222" s="268"/>
      <c r="H222" s="574"/>
      <c r="I222" s="574"/>
      <c r="J222" s="574"/>
      <c r="K222" s="575"/>
      <c r="L222" s="575"/>
    </row>
    <row r="223" spans="1:12" ht="15.75" hidden="1" customHeight="1">
      <c r="A223" s="1330" t="s">
        <v>161</v>
      </c>
      <c r="B223" s="1490">
        <v>370</v>
      </c>
      <c r="C223" s="306" t="s">
        <v>712</v>
      </c>
      <c r="D223" s="306" t="s">
        <v>712</v>
      </c>
      <c r="E223" s="268">
        <v>110</v>
      </c>
      <c r="F223" s="268"/>
      <c r="G223" s="268"/>
      <c r="H223" s="574"/>
      <c r="I223" s="574"/>
      <c r="J223" s="574"/>
      <c r="K223" s="575"/>
      <c r="L223" s="575"/>
    </row>
    <row r="224" spans="1:12" ht="15.75" hidden="1" customHeight="1">
      <c r="A224" s="1337" t="s">
        <v>703</v>
      </c>
      <c r="B224" s="1491"/>
      <c r="C224" s="306" t="s">
        <v>712</v>
      </c>
      <c r="D224" s="306" t="s">
        <v>712</v>
      </c>
      <c r="E224" s="268"/>
      <c r="F224" s="268"/>
      <c r="G224" s="268"/>
      <c r="H224" s="574"/>
      <c r="I224" s="574"/>
      <c r="J224" s="574"/>
      <c r="K224" s="575"/>
      <c r="L224" s="575"/>
    </row>
    <row r="225" spans="1:12" ht="15.75" hidden="1" customHeight="1">
      <c r="A225" s="1337" t="s">
        <v>159</v>
      </c>
      <c r="B225" s="1491"/>
      <c r="C225" s="306" t="s">
        <v>712</v>
      </c>
      <c r="D225" s="306" t="s">
        <v>712</v>
      </c>
      <c r="E225" s="268">
        <v>111</v>
      </c>
      <c r="F225" s="268"/>
      <c r="G225" s="268">
        <v>211</v>
      </c>
      <c r="H225" s="574"/>
      <c r="I225" s="574"/>
      <c r="J225" s="574"/>
      <c r="K225" s="575"/>
      <c r="L225" s="575"/>
    </row>
    <row r="226" spans="1:12" ht="31.5" hidden="1" customHeight="1">
      <c r="A226" s="1337" t="s">
        <v>0</v>
      </c>
      <c r="B226" s="1491"/>
      <c r="C226" s="306" t="s">
        <v>712</v>
      </c>
      <c r="D226" s="306" t="s">
        <v>712</v>
      </c>
      <c r="E226" s="268">
        <v>112</v>
      </c>
      <c r="F226" s="268"/>
      <c r="G226" s="268">
        <v>212</v>
      </c>
      <c r="H226" s="574"/>
      <c r="I226" s="574"/>
      <c r="J226" s="574"/>
      <c r="K226" s="575"/>
      <c r="L226" s="575"/>
    </row>
    <row r="227" spans="1:12" ht="31.5" hidden="1" customHeight="1">
      <c r="A227" s="1337" t="s">
        <v>0</v>
      </c>
      <c r="B227" s="1491"/>
      <c r="C227" s="306" t="s">
        <v>712</v>
      </c>
      <c r="D227" s="306" t="s">
        <v>712</v>
      </c>
      <c r="E227" s="268">
        <v>112</v>
      </c>
      <c r="F227" s="268"/>
      <c r="G227" s="268">
        <v>222</v>
      </c>
      <c r="H227" s="574"/>
      <c r="I227" s="574"/>
      <c r="J227" s="574"/>
      <c r="K227" s="575"/>
      <c r="L227" s="575"/>
    </row>
    <row r="228" spans="1:12" ht="31.5" hidden="1" customHeight="1">
      <c r="A228" s="1337" t="s">
        <v>0</v>
      </c>
      <c r="B228" s="1491"/>
      <c r="C228" s="306" t="s">
        <v>712</v>
      </c>
      <c r="D228" s="306" t="s">
        <v>712</v>
      </c>
      <c r="E228" s="268">
        <v>112</v>
      </c>
      <c r="F228" s="268"/>
      <c r="G228" s="268">
        <v>262</v>
      </c>
      <c r="H228" s="574"/>
      <c r="I228" s="574"/>
      <c r="J228" s="574"/>
      <c r="K228" s="575"/>
      <c r="L228" s="575"/>
    </row>
    <row r="229" spans="1:12" ht="31.5" hidden="1" customHeight="1">
      <c r="A229" s="1337" t="s">
        <v>0</v>
      </c>
      <c r="B229" s="1491"/>
      <c r="C229" s="306" t="s">
        <v>712</v>
      </c>
      <c r="D229" s="306" t="s">
        <v>712</v>
      </c>
      <c r="E229" s="268">
        <v>112</v>
      </c>
      <c r="F229" s="268"/>
      <c r="G229" s="268">
        <v>290</v>
      </c>
      <c r="H229" s="574"/>
      <c r="I229" s="574"/>
      <c r="J229" s="574"/>
      <c r="K229" s="575"/>
      <c r="L229" s="575"/>
    </row>
    <row r="230" spans="1:12" ht="47.25" hidden="1" customHeight="1">
      <c r="A230" s="1337" t="s">
        <v>715</v>
      </c>
      <c r="B230" s="1491"/>
      <c r="C230" s="306" t="s">
        <v>712</v>
      </c>
      <c r="D230" s="306" t="s">
        <v>712</v>
      </c>
      <c r="E230" s="268">
        <v>119</v>
      </c>
      <c r="F230" s="268"/>
      <c r="G230" s="268">
        <v>213</v>
      </c>
      <c r="H230" s="574"/>
      <c r="I230" s="574"/>
      <c r="J230" s="574"/>
      <c r="K230" s="575"/>
      <c r="L230" s="575"/>
    </row>
    <row r="231" spans="1:12" ht="31.5" hidden="1" customHeight="1">
      <c r="A231" s="1337" t="s">
        <v>160</v>
      </c>
      <c r="B231" s="1492"/>
      <c r="C231" s="306" t="s">
        <v>712</v>
      </c>
      <c r="D231" s="306" t="s">
        <v>712</v>
      </c>
      <c r="E231" s="268">
        <v>119</v>
      </c>
      <c r="F231" s="268"/>
      <c r="G231" s="268">
        <v>262</v>
      </c>
      <c r="H231" s="574"/>
      <c r="I231" s="574"/>
      <c r="J231" s="574"/>
      <c r="K231" s="575"/>
      <c r="L231" s="575"/>
    </row>
    <row r="232" spans="1:12" ht="31.5" hidden="1">
      <c r="A232" s="1330" t="s">
        <v>157</v>
      </c>
      <c r="B232" s="1493">
        <v>380</v>
      </c>
      <c r="C232" s="306"/>
      <c r="D232" s="306"/>
      <c r="E232" s="268">
        <v>240</v>
      </c>
      <c r="F232" s="306" t="s">
        <v>1151</v>
      </c>
      <c r="G232" s="268"/>
      <c r="H232" s="574">
        <f>H241</f>
        <v>0</v>
      </c>
      <c r="I232" s="574">
        <f>I241</f>
        <v>0</v>
      </c>
      <c r="J232" s="574">
        <f>J241</f>
        <v>0</v>
      </c>
      <c r="K232" s="575"/>
      <c r="L232" s="575"/>
    </row>
    <row r="233" spans="1:12" hidden="1">
      <c r="A233" s="1337" t="s">
        <v>703</v>
      </c>
      <c r="B233" s="1493"/>
      <c r="C233" s="306"/>
      <c r="D233" s="306"/>
      <c r="E233" s="268"/>
      <c r="F233" s="268"/>
      <c r="G233" s="268"/>
      <c r="H233" s="574"/>
      <c r="I233" s="574"/>
      <c r="J233" s="574"/>
      <c r="K233" s="575"/>
      <c r="L233" s="575"/>
    </row>
    <row r="234" spans="1:12" ht="15.75" hidden="1" customHeight="1">
      <c r="A234" s="1330" t="s">
        <v>16</v>
      </c>
      <c r="B234" s="1493"/>
      <c r="C234" s="306"/>
      <c r="D234" s="306"/>
      <c r="E234" s="268">
        <v>244</v>
      </c>
      <c r="F234" s="268"/>
      <c r="G234" s="268">
        <v>221</v>
      </c>
      <c r="H234" s="574"/>
      <c r="I234" s="574"/>
      <c r="J234" s="574"/>
      <c r="K234" s="575"/>
      <c r="L234" s="575"/>
    </row>
    <row r="235" spans="1:12" ht="15.75" hidden="1" customHeight="1">
      <c r="A235" s="1330" t="s">
        <v>9</v>
      </c>
      <c r="B235" s="1493"/>
      <c r="C235" s="306" t="s">
        <v>712</v>
      </c>
      <c r="D235" s="306" t="s">
        <v>712</v>
      </c>
      <c r="E235" s="268">
        <v>244</v>
      </c>
      <c r="F235" s="268"/>
      <c r="G235" s="268">
        <v>222</v>
      </c>
      <c r="H235" s="574"/>
      <c r="I235" s="574"/>
      <c r="J235" s="574"/>
      <c r="K235" s="575"/>
      <c r="L235" s="575"/>
    </row>
    <row r="236" spans="1:12" ht="15.75" hidden="1" customHeight="1">
      <c r="A236" s="1330" t="s">
        <v>17</v>
      </c>
      <c r="B236" s="1493"/>
      <c r="C236" s="306" t="s">
        <v>712</v>
      </c>
      <c r="D236" s="306" t="s">
        <v>712</v>
      </c>
      <c r="E236" s="268">
        <v>244</v>
      </c>
      <c r="F236" s="268"/>
      <c r="G236" s="268">
        <v>223</v>
      </c>
      <c r="H236" s="574"/>
      <c r="I236" s="574"/>
      <c r="J236" s="574"/>
      <c r="K236" s="575"/>
      <c r="L236" s="575"/>
    </row>
    <row r="237" spans="1:12" ht="15.75" hidden="1" customHeight="1">
      <c r="A237" s="1330" t="s">
        <v>10</v>
      </c>
      <c r="B237" s="1493"/>
      <c r="C237" s="306" t="s">
        <v>712</v>
      </c>
      <c r="D237" s="306" t="s">
        <v>712</v>
      </c>
      <c r="E237" s="268">
        <v>244</v>
      </c>
      <c r="F237" s="268"/>
      <c r="G237" s="268">
        <v>224</v>
      </c>
      <c r="H237" s="574"/>
      <c r="I237" s="574"/>
      <c r="J237" s="574"/>
      <c r="K237" s="575"/>
      <c r="L237" s="575"/>
    </row>
    <row r="238" spans="1:12" ht="15.75" hidden="1" customHeight="1">
      <c r="A238" s="1330" t="s">
        <v>11</v>
      </c>
      <c r="B238" s="1493"/>
      <c r="C238" s="306" t="s">
        <v>712</v>
      </c>
      <c r="D238" s="306" t="s">
        <v>712</v>
      </c>
      <c r="E238" s="268">
        <v>244</v>
      </c>
      <c r="F238" s="268"/>
      <c r="G238" s="268">
        <v>225</v>
      </c>
      <c r="H238" s="574"/>
      <c r="I238" s="574"/>
      <c r="J238" s="574"/>
      <c r="K238" s="575"/>
      <c r="L238" s="575"/>
    </row>
    <row r="239" spans="1:12" ht="15.75" hidden="1" customHeight="1">
      <c r="A239" s="1330" t="s">
        <v>12</v>
      </c>
      <c r="B239" s="1493"/>
      <c r="C239" s="306" t="s">
        <v>712</v>
      </c>
      <c r="D239" s="306" t="s">
        <v>712</v>
      </c>
      <c r="E239" s="268">
        <v>244</v>
      </c>
      <c r="F239" s="268"/>
      <c r="G239" s="268">
        <v>226</v>
      </c>
      <c r="H239" s="574"/>
      <c r="I239" s="574"/>
      <c r="J239" s="574"/>
      <c r="K239" s="575"/>
      <c r="L239" s="575"/>
    </row>
    <row r="240" spans="1:12" ht="15.75" hidden="1" customHeight="1">
      <c r="A240" s="1330" t="s">
        <v>13</v>
      </c>
      <c r="B240" s="1493"/>
      <c r="C240" s="306" t="s">
        <v>712</v>
      </c>
      <c r="D240" s="306" t="s">
        <v>712</v>
      </c>
      <c r="E240" s="268">
        <v>244</v>
      </c>
      <c r="F240" s="268"/>
      <c r="G240" s="268">
        <v>290</v>
      </c>
      <c r="H240" s="574"/>
      <c r="I240" s="574"/>
      <c r="J240" s="574"/>
      <c r="K240" s="575"/>
      <c r="L240" s="575"/>
    </row>
    <row r="241" spans="1:13" hidden="1">
      <c r="A241" s="1330" t="s">
        <v>15</v>
      </c>
      <c r="B241" s="1493"/>
      <c r="C241" s="306" t="s">
        <v>712</v>
      </c>
      <c r="D241" s="306" t="s">
        <v>712</v>
      </c>
      <c r="E241" s="268">
        <v>244</v>
      </c>
      <c r="F241" s="306" t="s">
        <v>1151</v>
      </c>
      <c r="G241" s="268">
        <v>340</v>
      </c>
      <c r="H241" s="574"/>
      <c r="I241" s="574"/>
      <c r="J241" s="574"/>
      <c r="K241" s="575"/>
      <c r="L241" s="575"/>
    </row>
    <row r="242" spans="1:13" hidden="1">
      <c r="A242" s="1330" t="s">
        <v>14</v>
      </c>
      <c r="B242" s="1493"/>
      <c r="C242" s="306" t="s">
        <v>712</v>
      </c>
      <c r="D242" s="306" t="s">
        <v>712</v>
      </c>
      <c r="E242" s="268">
        <v>244</v>
      </c>
      <c r="F242" s="268"/>
      <c r="G242" s="268">
        <v>310</v>
      </c>
      <c r="H242" s="574"/>
      <c r="I242" s="574"/>
      <c r="J242" s="574"/>
      <c r="K242" s="575"/>
      <c r="L242" s="575"/>
    </row>
    <row r="243" spans="1:13" ht="31.5" hidden="1">
      <c r="A243" s="1330" t="s">
        <v>1094</v>
      </c>
      <c r="B243" s="1490">
        <v>390</v>
      </c>
      <c r="C243" s="306"/>
      <c r="D243" s="306"/>
      <c r="E243" s="268">
        <v>240</v>
      </c>
      <c r="F243" s="268"/>
      <c r="G243" s="268"/>
      <c r="H243" s="574"/>
      <c r="I243" s="574"/>
      <c r="J243" s="574"/>
      <c r="K243" s="575"/>
      <c r="L243" s="575"/>
    </row>
    <row r="244" spans="1:13" hidden="1">
      <c r="A244" s="1330" t="s">
        <v>703</v>
      </c>
      <c r="B244" s="1491"/>
      <c r="C244" s="306"/>
      <c r="D244" s="306"/>
      <c r="E244" s="268"/>
      <c r="F244" s="268"/>
      <c r="G244" s="268"/>
      <c r="H244" s="574"/>
      <c r="I244" s="574"/>
      <c r="J244" s="574"/>
      <c r="K244" s="575"/>
      <c r="L244" s="575"/>
    </row>
    <row r="245" spans="1:13" hidden="1">
      <c r="A245" s="1330" t="s">
        <v>8</v>
      </c>
      <c r="B245" s="1492"/>
      <c r="C245" s="306"/>
      <c r="D245" s="306"/>
      <c r="E245" s="268">
        <v>244</v>
      </c>
      <c r="F245" s="268"/>
      <c r="G245" s="268">
        <v>290</v>
      </c>
      <c r="H245" s="574"/>
      <c r="I245" s="574"/>
      <c r="J245" s="574"/>
      <c r="K245" s="575"/>
      <c r="L245" s="575"/>
    </row>
    <row r="246" spans="1:13" ht="31.5" hidden="1">
      <c r="A246" s="1330" t="s">
        <v>1</v>
      </c>
      <c r="B246" s="1493">
        <v>400</v>
      </c>
      <c r="C246" s="306"/>
      <c r="D246" s="306"/>
      <c r="E246" s="268">
        <v>320</v>
      </c>
      <c r="F246" s="268"/>
      <c r="G246" s="268"/>
      <c r="H246" s="574"/>
      <c r="I246" s="574"/>
      <c r="J246" s="574"/>
      <c r="K246" s="575"/>
      <c r="L246" s="575"/>
    </row>
    <row r="247" spans="1:13" ht="31.5" hidden="1">
      <c r="A247" s="1330" t="s">
        <v>1093</v>
      </c>
      <c r="B247" s="1493"/>
      <c r="C247" s="306"/>
      <c r="D247" s="306"/>
      <c r="E247" s="268">
        <v>323</v>
      </c>
      <c r="F247" s="268"/>
      <c r="G247" s="268">
        <v>262</v>
      </c>
      <c r="H247" s="574"/>
      <c r="I247" s="574"/>
      <c r="J247" s="574"/>
      <c r="K247" s="575"/>
      <c r="L247" s="575"/>
      <c r="M247" s="530"/>
    </row>
    <row r="248" spans="1:13" hidden="1">
      <c r="A248" s="1330" t="s">
        <v>1089</v>
      </c>
      <c r="B248" s="1493">
        <v>410</v>
      </c>
      <c r="C248" s="306"/>
      <c r="D248" s="306"/>
      <c r="E248" s="268">
        <v>340</v>
      </c>
      <c r="F248" s="268"/>
      <c r="G248" s="268"/>
      <c r="H248" s="574"/>
      <c r="I248" s="574"/>
      <c r="J248" s="574"/>
      <c r="K248" s="575"/>
      <c r="L248" s="575"/>
    </row>
    <row r="249" spans="1:13" hidden="1">
      <c r="A249" s="1330" t="s">
        <v>703</v>
      </c>
      <c r="B249" s="1493"/>
      <c r="C249" s="306"/>
      <c r="D249" s="306"/>
      <c r="E249" s="268"/>
      <c r="F249" s="268"/>
      <c r="G249" s="268"/>
      <c r="H249" s="574"/>
      <c r="I249" s="574"/>
      <c r="J249" s="574"/>
      <c r="K249" s="575"/>
      <c r="L249" s="575"/>
    </row>
    <row r="250" spans="1:13" hidden="1">
      <c r="A250" s="1330" t="s">
        <v>1090</v>
      </c>
      <c r="B250" s="1493"/>
      <c r="C250" s="306"/>
      <c r="D250" s="306"/>
      <c r="E250" s="268">
        <v>340</v>
      </c>
      <c r="F250" s="268"/>
      <c r="G250" s="268">
        <v>290</v>
      </c>
      <c r="H250" s="574"/>
      <c r="I250" s="574"/>
      <c r="J250" s="574"/>
      <c r="K250" s="575"/>
      <c r="L250" s="575"/>
    </row>
    <row r="251" spans="1:13" hidden="1">
      <c r="A251" s="1330" t="s">
        <v>2</v>
      </c>
      <c r="B251" s="268">
        <v>420</v>
      </c>
      <c r="C251" s="306"/>
      <c r="D251" s="306"/>
      <c r="E251" s="268">
        <v>360</v>
      </c>
      <c r="F251" s="268"/>
      <c r="G251" s="268">
        <v>262</v>
      </c>
      <c r="H251" s="574"/>
      <c r="I251" s="574"/>
      <c r="J251" s="574"/>
      <c r="K251" s="575"/>
      <c r="L251" s="575"/>
    </row>
    <row r="252" spans="1:13" hidden="1">
      <c r="A252" s="1330" t="s">
        <v>3</v>
      </c>
      <c r="B252" s="1493">
        <v>430</v>
      </c>
      <c r="C252" s="306"/>
      <c r="D252" s="306"/>
      <c r="E252" s="268">
        <v>800</v>
      </c>
      <c r="F252" s="268"/>
      <c r="G252" s="268"/>
      <c r="H252" s="574"/>
      <c r="I252" s="574"/>
      <c r="J252" s="574"/>
      <c r="K252" s="575"/>
      <c r="L252" s="575"/>
    </row>
    <row r="253" spans="1:13" hidden="1">
      <c r="A253" s="1330" t="s">
        <v>703</v>
      </c>
      <c r="B253" s="1493"/>
      <c r="C253" s="306"/>
      <c r="D253" s="306"/>
      <c r="E253" s="268"/>
      <c r="F253" s="268"/>
      <c r="G253" s="268"/>
      <c r="H253" s="574"/>
      <c r="I253" s="574"/>
      <c r="J253" s="574"/>
      <c r="K253" s="575"/>
      <c r="L253" s="575"/>
    </row>
    <row r="254" spans="1:13" hidden="1">
      <c r="A254" s="1330" t="s">
        <v>153</v>
      </c>
      <c r="B254" s="1493"/>
      <c r="C254" s="306"/>
      <c r="D254" s="306"/>
      <c r="E254" s="268">
        <v>830</v>
      </c>
      <c r="F254" s="268"/>
      <c r="G254" s="268"/>
      <c r="H254" s="574"/>
      <c r="I254" s="574"/>
      <c r="J254" s="574"/>
      <c r="K254" s="575"/>
      <c r="L254" s="575"/>
    </row>
    <row r="255" spans="1:13" ht="94.5" hidden="1">
      <c r="A255" s="1330" t="s">
        <v>158</v>
      </c>
      <c r="B255" s="1493"/>
      <c r="C255" s="306"/>
      <c r="D255" s="306"/>
      <c r="E255" s="268">
        <v>831</v>
      </c>
      <c r="F255" s="268"/>
      <c r="G255" s="268">
        <v>290</v>
      </c>
      <c r="H255" s="574"/>
      <c r="I255" s="574"/>
      <c r="J255" s="574"/>
      <c r="K255" s="575"/>
      <c r="L255" s="575"/>
    </row>
    <row r="256" spans="1:13" ht="94.5" hidden="1">
      <c r="A256" s="1330" t="s">
        <v>158</v>
      </c>
      <c r="B256" s="1493"/>
      <c r="C256" s="306"/>
      <c r="D256" s="306"/>
      <c r="E256" s="268">
        <v>831</v>
      </c>
      <c r="F256" s="268"/>
      <c r="G256" s="268">
        <v>262</v>
      </c>
      <c r="H256" s="574"/>
      <c r="I256" s="574"/>
      <c r="J256" s="574"/>
      <c r="K256" s="575"/>
      <c r="L256" s="575"/>
    </row>
    <row r="257" spans="1:12" hidden="1">
      <c r="A257" s="1330" t="s">
        <v>4</v>
      </c>
      <c r="B257" s="1493">
        <v>440</v>
      </c>
      <c r="C257" s="306"/>
      <c r="D257" s="306"/>
      <c r="E257" s="268">
        <v>850</v>
      </c>
      <c r="F257" s="268"/>
      <c r="G257" s="268"/>
      <c r="H257" s="574"/>
      <c r="I257" s="574"/>
      <c r="J257" s="574"/>
      <c r="K257" s="575"/>
      <c r="L257" s="575"/>
    </row>
    <row r="258" spans="1:12" hidden="1">
      <c r="A258" s="1330" t="s">
        <v>703</v>
      </c>
      <c r="B258" s="1493"/>
      <c r="C258" s="306"/>
      <c r="D258" s="306"/>
      <c r="E258" s="268"/>
      <c r="F258" s="268"/>
      <c r="G258" s="268"/>
      <c r="H258" s="574"/>
      <c r="I258" s="574"/>
      <c r="J258" s="574"/>
      <c r="K258" s="575"/>
      <c r="L258" s="575"/>
    </row>
    <row r="259" spans="1:12" hidden="1">
      <c r="A259" s="1330" t="s">
        <v>5</v>
      </c>
      <c r="B259" s="1493"/>
      <c r="C259" s="306"/>
      <c r="D259" s="306"/>
      <c r="E259" s="268">
        <v>851</v>
      </c>
      <c r="F259" s="268"/>
      <c r="G259" s="268">
        <v>290</v>
      </c>
      <c r="H259" s="574"/>
      <c r="I259" s="574"/>
      <c r="J259" s="574"/>
      <c r="K259" s="575"/>
      <c r="L259" s="575"/>
    </row>
    <row r="260" spans="1:12" hidden="1">
      <c r="A260" s="1330" t="s">
        <v>6</v>
      </c>
      <c r="B260" s="1493"/>
      <c r="C260" s="306"/>
      <c r="D260" s="306"/>
      <c r="E260" s="268">
        <v>852</v>
      </c>
      <c r="F260" s="268"/>
      <c r="G260" s="268">
        <v>290</v>
      </c>
      <c r="H260" s="574"/>
      <c r="I260" s="574"/>
      <c r="J260" s="574"/>
      <c r="K260" s="575"/>
      <c r="L260" s="575"/>
    </row>
    <row r="261" spans="1:12" hidden="1">
      <c r="A261" s="1330" t="s">
        <v>7</v>
      </c>
      <c r="B261" s="1493"/>
      <c r="C261" s="306"/>
      <c r="D261" s="306"/>
      <c r="E261" s="268">
        <v>853</v>
      </c>
      <c r="F261" s="268"/>
      <c r="G261" s="268">
        <v>290</v>
      </c>
      <c r="H261" s="574"/>
      <c r="I261" s="574"/>
      <c r="J261" s="574"/>
      <c r="K261" s="575"/>
      <c r="L261" s="575"/>
    </row>
    <row r="262" spans="1:12" hidden="1">
      <c r="A262" s="1330" t="s">
        <v>1871</v>
      </c>
      <c r="B262" s="268">
        <v>500</v>
      </c>
      <c r="C262" s="306" t="s">
        <v>712</v>
      </c>
      <c r="D262" s="306" t="s">
        <v>712</v>
      </c>
      <c r="E262" s="268" t="s">
        <v>712</v>
      </c>
      <c r="F262" s="268"/>
      <c r="G262" s="268" t="s">
        <v>712</v>
      </c>
      <c r="H262" s="574">
        <v>0</v>
      </c>
      <c r="I262" s="574">
        <v>0</v>
      </c>
      <c r="J262" s="574">
        <v>0</v>
      </c>
      <c r="K262" s="575"/>
      <c r="L262" s="575"/>
    </row>
    <row r="263" spans="1:12" ht="31.5" hidden="1">
      <c r="A263" s="1330" t="s">
        <v>1002</v>
      </c>
      <c r="B263" s="268">
        <v>510</v>
      </c>
      <c r="C263" s="306" t="s">
        <v>712</v>
      </c>
      <c r="D263" s="306" t="s">
        <v>712</v>
      </c>
      <c r="E263" s="268" t="s">
        <v>712</v>
      </c>
      <c r="F263" s="268"/>
      <c r="G263" s="268" t="s">
        <v>712</v>
      </c>
      <c r="H263" s="574"/>
      <c r="I263" s="574"/>
      <c r="J263" s="574"/>
      <c r="K263" s="575"/>
      <c r="L263" s="575"/>
    </row>
    <row r="264" spans="1:12" hidden="1">
      <c r="A264" s="1330" t="s">
        <v>18</v>
      </c>
      <c r="B264" s="268">
        <v>520</v>
      </c>
      <c r="C264" s="306" t="s">
        <v>712</v>
      </c>
      <c r="D264" s="306" t="s">
        <v>712</v>
      </c>
      <c r="E264" s="268" t="s">
        <v>712</v>
      </c>
      <c r="F264" s="268"/>
      <c r="G264" s="268" t="s">
        <v>712</v>
      </c>
      <c r="H264" s="574"/>
      <c r="I264" s="574"/>
      <c r="J264" s="574"/>
      <c r="K264" s="575"/>
      <c r="L264" s="575"/>
    </row>
    <row r="265" spans="1:12" ht="31.5" hidden="1">
      <c r="A265" s="1330" t="s">
        <v>829</v>
      </c>
      <c r="B265" s="268">
        <v>530</v>
      </c>
      <c r="C265" s="306" t="s">
        <v>712</v>
      </c>
      <c r="D265" s="306" t="s">
        <v>712</v>
      </c>
      <c r="E265" s="268" t="s">
        <v>712</v>
      </c>
      <c r="F265" s="268"/>
      <c r="G265" s="268" t="s">
        <v>712</v>
      </c>
      <c r="H265" s="574"/>
      <c r="I265" s="574"/>
      <c r="J265" s="574"/>
      <c r="K265" s="575"/>
      <c r="L265" s="575"/>
    </row>
    <row r="266" spans="1:12">
      <c r="A266" s="1330" t="s">
        <v>19</v>
      </c>
      <c r="B266" s="268">
        <v>600</v>
      </c>
      <c r="C266" s="306" t="s">
        <v>712</v>
      </c>
      <c r="D266" s="306" t="s">
        <v>712</v>
      </c>
      <c r="E266" s="268" t="s">
        <v>712</v>
      </c>
      <c r="F266" s="268"/>
      <c r="G266" s="268" t="s">
        <v>712</v>
      </c>
      <c r="H266" s="574">
        <f>H9-H33</f>
        <v>0</v>
      </c>
      <c r="I266" s="574">
        <f>I9-I33</f>
        <v>0</v>
      </c>
      <c r="J266" s="574">
        <f>J9-J33</f>
        <v>0</v>
      </c>
      <c r="K266" s="575"/>
      <c r="L266" s="575"/>
    </row>
    <row r="267" spans="1:12">
      <c r="A267" s="610"/>
      <c r="B267" s="610"/>
      <c r="C267" s="610"/>
      <c r="D267" s="610"/>
      <c r="E267" s="610"/>
      <c r="F267" s="610"/>
      <c r="G267" s="610"/>
      <c r="H267" s="614"/>
      <c r="I267" s="614"/>
      <c r="J267" s="614"/>
      <c r="K267" s="611"/>
      <c r="L267" s="611"/>
    </row>
  </sheetData>
  <customSheetViews>
    <customSheetView guid="{CA0FB9E2-E541-4C74-BCFE-D75491869B36}" scale="50" showPageBreaks="1" printArea="1" view="pageBreakPreview">
      <pane ySplit="8" topLeftCell="A55" activePane="bottomLeft" state="frozen"/>
      <selection pane="bottomLeft" activeCell="B52" sqref="B52:B56"/>
      <pageMargins left="0.59055118110236227" right="0" top="0.39370078740157483" bottom="0" header="0.31496062992125984" footer="0.31496062992125984"/>
      <pageSetup paperSize="9" scale="75" orientation="landscape" r:id="rId1"/>
    </customSheetView>
    <customSheetView guid="{F10E3D8B-5892-420A-B023-68C6496D556B}" scale="86" showPageBreaks="1" printArea="1" view="pageBreakPreview">
      <pane ySplit="8" topLeftCell="A9" activePane="bottomLeft" state="frozen"/>
      <selection pane="bottomLeft" activeCell="A11" sqref="A11"/>
      <pageMargins left="0.59055118110236227" right="0" top="0.39370078740157483" bottom="0" header="0.31496062992125984" footer="0.31496062992125984"/>
      <pageSetup paperSize="9" scale="75" orientation="landscape" r:id="rId2"/>
    </customSheetView>
    <customSheetView guid="{43136B00-66C6-4289-99D3-5EF20611F834}" scale="86" showPageBreaks="1" printArea="1" view="pageBreakPreview">
      <selection activeCell="H37" sqref="H37"/>
      <pageMargins left="0.59055118110236227" right="0" top="0.39370078740157483" bottom="0" header="0.31496062992125984" footer="0.31496062992125984"/>
      <pageSetup paperSize="9" scale="62" orientation="landscape" r:id="rId3"/>
    </customSheetView>
    <customSheetView guid="{22820B9F-10DE-4629-AF3D-4AF98A9BCEDB}" scale="86" showPageBreaks="1" printArea="1" view="pageBreakPreview">
      <selection activeCell="H37" sqref="H37"/>
      <pageMargins left="0.59055118110236227" right="0" top="0.39370078740157483" bottom="0" header="0.31496062992125984" footer="0.31496062992125984"/>
      <pageSetup paperSize="9" scale="62" orientation="landscape" r:id="rId4"/>
    </customSheetView>
  </customSheetViews>
  <mergeCells count="47">
    <mergeCell ref="I1:J1"/>
    <mergeCell ref="A3:J3"/>
    <mergeCell ref="A4:A7"/>
    <mergeCell ref="B4:B7"/>
    <mergeCell ref="C4:C7"/>
    <mergeCell ref="D4:D7"/>
    <mergeCell ref="E4:E7"/>
    <mergeCell ref="I5:I7"/>
    <mergeCell ref="G4:G7"/>
    <mergeCell ref="H4:J4"/>
    <mergeCell ref="B153:B155"/>
    <mergeCell ref="B111:B114"/>
    <mergeCell ref="B88:B107"/>
    <mergeCell ref="B80:B83"/>
    <mergeCell ref="B85:B87"/>
    <mergeCell ref="F4:F7"/>
    <mergeCell ref="J5:J7"/>
    <mergeCell ref="B223:B231"/>
    <mergeCell ref="B248:B250"/>
    <mergeCell ref="H5:H7"/>
    <mergeCell ref="B11:B26"/>
    <mergeCell ref="B37:B47"/>
    <mergeCell ref="B65:B76"/>
    <mergeCell ref="B60:B64"/>
    <mergeCell ref="B57:B59"/>
    <mergeCell ref="B48:B51"/>
    <mergeCell ref="B52:B54"/>
    <mergeCell ref="B188:B196"/>
    <mergeCell ref="B142:B144"/>
    <mergeCell ref="B119:B121"/>
    <mergeCell ref="B122:B141"/>
    <mergeCell ref="B257:B261"/>
    <mergeCell ref="B210:B220"/>
    <mergeCell ref="B232:B242"/>
    <mergeCell ref="B246:B247"/>
    <mergeCell ref="B243:B245"/>
    <mergeCell ref="B252:B256"/>
    <mergeCell ref="B156:B175"/>
    <mergeCell ref="B176:B178"/>
    <mergeCell ref="B179:B182"/>
    <mergeCell ref="B183:B185"/>
    <mergeCell ref="B201:B209"/>
    <mergeCell ref="B77:B79"/>
    <mergeCell ref="B108:B110"/>
    <mergeCell ref="B145:B148"/>
    <mergeCell ref="B149:B151"/>
    <mergeCell ref="B115:B117"/>
  </mergeCells>
  <phoneticPr fontId="116" type="noConversion"/>
  <pageMargins left="0.59055118110236227" right="0" top="0.39370078740157483" bottom="0" header="0.31496062992125984" footer="0.31496062992125984"/>
  <pageSetup paperSize="9" scale="54" orientation="landscape" r:id="rId5"/>
  <legacyDrawing r:id="rId6"/>
</worksheet>
</file>

<file path=xl/worksheets/sheet70.xml><?xml version="1.0" encoding="utf-8"?>
<worksheet xmlns="http://schemas.openxmlformats.org/spreadsheetml/2006/main" xmlns:r="http://schemas.openxmlformats.org/officeDocument/2006/relationships">
  <sheetPr>
    <tabColor rgb="FFFF0000"/>
  </sheetPr>
  <dimension ref="A1:I22"/>
  <sheetViews>
    <sheetView view="pageBreakPreview" topLeftCell="A10" zoomScale="98" zoomScaleNormal="100" zoomScaleSheetLayoutView="98" workbookViewId="0">
      <selection activeCell="F14" sqref="F14"/>
    </sheetView>
  </sheetViews>
  <sheetFormatPr defaultRowHeight="15"/>
  <cols>
    <col min="1" max="1" width="4.7109375" style="667" bestFit="1" customWidth="1"/>
    <col min="2" max="2" width="45" style="667" customWidth="1"/>
    <col min="3" max="3" width="17.85546875" style="667" customWidth="1"/>
    <col min="4" max="4" width="18.5703125" style="713" customWidth="1"/>
    <col min="5" max="5" width="11.7109375" style="667" bestFit="1" customWidth="1"/>
    <col min="6" max="6" width="11.140625" style="667" bestFit="1" customWidth="1"/>
    <col min="7" max="16384" width="9.140625" style="667"/>
  </cols>
  <sheetData>
    <row r="1" spans="1:9" s="1" customFormat="1" ht="21" customHeight="1">
      <c r="A1" s="2024" t="s">
        <v>1386</v>
      </c>
      <c r="B1" s="2024"/>
      <c r="C1" s="2024"/>
      <c r="D1" s="2024"/>
      <c r="E1" s="2024"/>
      <c r="F1" s="2024"/>
      <c r="G1" s="1385"/>
    </row>
    <row r="2" spans="1:9" s="1" customFormat="1" ht="15.75">
      <c r="A2" s="235"/>
      <c r="B2" s="235"/>
      <c r="C2" s="235"/>
      <c r="D2" s="235"/>
      <c r="E2" s="235"/>
      <c r="F2" s="234"/>
      <c r="G2" s="234"/>
    </row>
    <row r="3" spans="1:9" s="1" customFormat="1" ht="45" customHeight="1">
      <c r="A3" s="1686" t="s">
        <v>754</v>
      </c>
      <c r="B3" s="1808"/>
      <c r="C3" s="1808"/>
      <c r="D3" s="1808"/>
      <c r="E3" s="1384"/>
      <c r="F3" s="1384"/>
      <c r="G3" s="1384"/>
    </row>
    <row r="4" spans="1:9" s="1" customFormat="1" ht="15.75">
      <c r="A4" s="234"/>
      <c r="B4" s="234"/>
      <c r="C4" s="234"/>
      <c r="D4" s="234"/>
      <c r="E4" s="234"/>
      <c r="F4" s="234"/>
      <c r="G4" s="234"/>
    </row>
    <row r="5" spans="1:9" s="1" customFormat="1" ht="15.75">
      <c r="A5" s="669" t="s">
        <v>1787</v>
      </c>
      <c r="B5" s="234"/>
      <c r="C5" s="234"/>
      <c r="D5" s="234"/>
      <c r="E5" s="234"/>
      <c r="F5" s="234"/>
      <c r="G5" s="234"/>
    </row>
    <row r="6" spans="1:9" ht="15.75">
      <c r="A6" s="606"/>
      <c r="B6" s="606"/>
      <c r="C6" s="606"/>
      <c r="D6" s="672" t="s">
        <v>957</v>
      </c>
    </row>
    <row r="7" spans="1:9" ht="15.75">
      <c r="A7" s="606"/>
      <c r="B7" s="606"/>
      <c r="C7" s="606"/>
      <c r="D7" s="672"/>
    </row>
    <row r="8" spans="1:9" ht="16.5" customHeight="1">
      <c r="A8" s="1509" t="s">
        <v>1383</v>
      </c>
      <c r="B8" s="1526"/>
      <c r="C8" s="1526"/>
      <c r="D8" s="1526"/>
    </row>
    <row r="9" spans="1:9" s="703" customFormat="1" ht="21" customHeight="1">
      <c r="A9" s="695"/>
      <c r="B9" s="1849" t="s">
        <v>122</v>
      </c>
      <c r="C9" s="1849"/>
      <c r="D9" s="1849"/>
      <c r="E9" s="695"/>
      <c r="F9" s="695"/>
      <c r="G9" s="695"/>
      <c r="H9" s="695"/>
      <c r="I9" s="695"/>
    </row>
    <row r="10" spans="1:9" s="705" customFormat="1" ht="31.5">
      <c r="A10" s="268" t="s">
        <v>1267</v>
      </c>
      <c r="B10" s="268" t="s">
        <v>217</v>
      </c>
      <c r="C10" s="318" t="s">
        <v>1718</v>
      </c>
      <c r="D10" s="704" t="s">
        <v>90</v>
      </c>
    </row>
    <row r="11" spans="1:9" s="705" customFormat="1" ht="15.75">
      <c r="A11" s="268">
        <v>1</v>
      </c>
      <c r="B11" s="268">
        <v>2</v>
      </c>
      <c r="C11" s="318">
        <v>3</v>
      </c>
      <c r="D11" s="706">
        <v>4</v>
      </c>
    </row>
    <row r="12" spans="1:9" ht="15.75">
      <c r="A12" s="707">
        <v>1</v>
      </c>
      <c r="B12" s="708" t="s">
        <v>1802</v>
      </c>
      <c r="C12" s="616" t="s">
        <v>1296</v>
      </c>
      <c r="D12" s="709">
        <v>0</v>
      </c>
    </row>
    <row r="13" spans="1:9" ht="31.5">
      <c r="A13" s="707">
        <f>A12+1</f>
        <v>2</v>
      </c>
      <c r="B13" s="708" t="s">
        <v>1096</v>
      </c>
      <c r="C13" s="616" t="s">
        <v>1296</v>
      </c>
      <c r="D13" s="709">
        <v>0</v>
      </c>
    </row>
    <row r="14" spans="1:9" ht="102.75" customHeight="1">
      <c r="A14" s="707">
        <f>A13+1</f>
        <v>3</v>
      </c>
      <c r="B14" s="692" t="s">
        <v>778</v>
      </c>
      <c r="C14" s="677" t="s">
        <v>775</v>
      </c>
      <c r="D14" s="709">
        <v>157322.03</v>
      </c>
      <c r="E14" s="694"/>
    </row>
    <row r="15" spans="1:9" ht="45" customHeight="1">
      <c r="A15" s="707">
        <f>A14+1</f>
        <v>4</v>
      </c>
      <c r="B15" s="692" t="s">
        <v>776</v>
      </c>
      <c r="C15" s="677" t="s">
        <v>777</v>
      </c>
      <c r="D15" s="709">
        <v>158125</v>
      </c>
      <c r="E15" s="694" t="s">
        <v>2515</v>
      </c>
    </row>
    <row r="16" spans="1:9" ht="15.75">
      <c r="A16" s="1850" t="s">
        <v>183</v>
      </c>
      <c r="B16" s="1851"/>
      <c r="C16" s="1852"/>
      <c r="D16" s="711">
        <f>SUM(D14:D15)</f>
        <v>315447.03000000003</v>
      </c>
      <c r="E16" s="694"/>
      <c r="F16" s="694"/>
    </row>
    <row r="18" spans="2:8" s="671" customFormat="1" ht="26.25" customHeight="1">
      <c r="B18" s="695" t="s">
        <v>1077</v>
      </c>
      <c r="C18" s="696"/>
      <c r="D18" s="696" t="s">
        <v>1040</v>
      </c>
      <c r="E18" s="664"/>
      <c r="F18" s="697"/>
      <c r="G18" s="697"/>
      <c r="H18" s="702"/>
    </row>
    <row r="19" spans="2:8" s="671" customFormat="1" ht="18" customHeight="1">
      <c r="B19" s="670"/>
      <c r="C19" s="698" t="s">
        <v>1078</v>
      </c>
      <c r="D19" s="712" t="s">
        <v>1079</v>
      </c>
      <c r="E19" s="697"/>
      <c r="F19" s="697"/>
      <c r="G19" s="697"/>
      <c r="H19" s="697"/>
    </row>
    <row r="20" spans="2:8" s="671" customFormat="1" ht="26.25" customHeight="1">
      <c r="B20" s="700" t="s">
        <v>1076</v>
      </c>
      <c r="C20" s="696"/>
      <c r="D20" s="696" t="s">
        <v>1245</v>
      </c>
      <c r="E20" s="664"/>
      <c r="F20" s="664"/>
      <c r="G20" s="702"/>
      <c r="H20" s="702"/>
    </row>
    <row r="21" spans="2:8" s="671" customFormat="1" ht="18.75" customHeight="1">
      <c r="B21" s="670"/>
      <c r="C21" s="698" t="s">
        <v>1078</v>
      </c>
      <c r="D21" s="712" t="s">
        <v>1079</v>
      </c>
      <c r="E21" s="697"/>
      <c r="F21" s="697"/>
      <c r="G21" s="697"/>
      <c r="H21" s="697"/>
    </row>
    <row r="22" spans="2:8" s="622" customFormat="1"/>
  </sheetData>
  <mergeCells count="5">
    <mergeCell ref="A8:D8"/>
    <mergeCell ref="A16:C16"/>
    <mergeCell ref="B9:D9"/>
    <mergeCell ref="A1:F1"/>
    <mergeCell ref="A3:D3"/>
  </mergeCells>
  <phoneticPr fontId="116" type="noConversion"/>
  <pageMargins left="0.70866141732283472" right="0.70866141732283472" top="0.74803149606299213" bottom="0.74803149606299213" header="0.31496062992125984" footer="0.31496062992125984"/>
  <pageSetup paperSize="9" orientation="portrait" r:id="rId1"/>
</worksheet>
</file>

<file path=xl/worksheets/sheet71.xml><?xml version="1.0" encoding="utf-8"?>
<worksheet xmlns="http://schemas.openxmlformats.org/spreadsheetml/2006/main" xmlns:r="http://schemas.openxmlformats.org/officeDocument/2006/relationships">
  <sheetPr codeName="Лист33"/>
  <dimension ref="A1:Q21"/>
  <sheetViews>
    <sheetView view="pageBreakPreview" zoomScaleNormal="100" zoomScaleSheetLayoutView="100" workbookViewId="0">
      <selection activeCell="C19" sqref="C19"/>
    </sheetView>
  </sheetViews>
  <sheetFormatPr defaultRowHeight="15"/>
  <cols>
    <col min="1" max="1" width="4.85546875" style="1" customWidth="1"/>
    <col min="2" max="2" width="48.28515625" style="1" customWidth="1"/>
    <col min="3" max="3" width="21" style="1" customWidth="1"/>
    <col min="4" max="4" width="15.7109375" style="1" customWidth="1"/>
    <col min="5" max="5" width="24.7109375" style="1" customWidth="1"/>
    <col min="6" max="16384" width="9.140625" style="1"/>
  </cols>
  <sheetData>
    <row r="1" spans="1:5" ht="15.75">
      <c r="A1" s="234"/>
      <c r="B1" s="234"/>
      <c r="C1" s="234"/>
      <c r="D1" s="234"/>
      <c r="E1" s="209" t="s">
        <v>972</v>
      </c>
    </row>
    <row r="2" spans="1:5" ht="15.75">
      <c r="A2" s="234"/>
      <c r="B2" s="234"/>
      <c r="C2" s="234"/>
      <c r="D2" s="234"/>
      <c r="E2" s="209"/>
    </row>
    <row r="3" spans="1:5" ht="15" customHeight="1">
      <c r="A3" s="1804" t="s">
        <v>1741</v>
      </c>
      <c r="B3" s="1804"/>
      <c r="C3" s="1804"/>
      <c r="D3" s="1804"/>
      <c r="E3" s="1804"/>
    </row>
    <row r="4" spans="1:5" ht="15.75">
      <c r="A4" s="249"/>
      <c r="B4" s="249"/>
      <c r="C4" s="249"/>
      <c r="D4" s="249"/>
      <c r="E4" s="234"/>
    </row>
    <row r="5" spans="1:5" ht="15.75">
      <c r="A5" s="234" t="s">
        <v>1253</v>
      </c>
      <c r="B5" s="234"/>
      <c r="C5" s="234"/>
      <c r="D5" s="234"/>
      <c r="E5" s="234"/>
    </row>
    <row r="6" spans="1:5" ht="15.75">
      <c r="A6" s="234"/>
      <c r="B6" s="234"/>
      <c r="C6" s="234"/>
      <c r="D6" s="234"/>
      <c r="E6" s="234"/>
    </row>
    <row r="7" spans="1:5" ht="15.75">
      <c r="A7" s="234" t="s">
        <v>1254</v>
      </c>
      <c r="B7" s="234"/>
      <c r="C7" s="234"/>
      <c r="D7" s="234"/>
      <c r="E7" s="234"/>
    </row>
    <row r="8" spans="1:5" ht="15.75">
      <c r="A8" s="234"/>
      <c r="B8" s="234"/>
      <c r="C8" s="234"/>
      <c r="D8" s="234"/>
      <c r="E8" s="234"/>
    </row>
    <row r="9" spans="1:5" ht="15.75">
      <c r="A9" s="2017" t="s">
        <v>1255</v>
      </c>
      <c r="B9" s="2017" t="s">
        <v>1311</v>
      </c>
      <c r="C9" s="2014" t="s">
        <v>1312</v>
      </c>
      <c r="D9" s="2016"/>
      <c r="E9" s="2025" t="s">
        <v>222</v>
      </c>
    </row>
    <row r="10" spans="1:5" ht="31.5">
      <c r="A10" s="2018"/>
      <c r="B10" s="2018"/>
      <c r="C10" s="229" t="s">
        <v>1268</v>
      </c>
      <c r="D10" s="229" t="s">
        <v>1313</v>
      </c>
      <c r="E10" s="2026"/>
    </row>
    <row r="11" spans="1:5" ht="15.75">
      <c r="A11" s="230">
        <v>1</v>
      </c>
      <c r="B11" s="337" t="s">
        <v>1270</v>
      </c>
      <c r="C11" s="337" t="s">
        <v>1271</v>
      </c>
      <c r="D11" s="338">
        <v>4</v>
      </c>
      <c r="E11" s="230">
        <v>5</v>
      </c>
    </row>
    <row r="12" spans="1:5" ht="15.75">
      <c r="A12" s="230"/>
      <c r="B12" s="337"/>
      <c r="C12" s="337"/>
      <c r="D12" s="232"/>
      <c r="E12" s="233"/>
    </row>
    <row r="13" spans="1:5" ht="15.75">
      <c r="A13" s="230"/>
      <c r="B13" s="337"/>
      <c r="C13" s="337"/>
      <c r="D13" s="232"/>
      <c r="E13" s="233"/>
    </row>
    <row r="14" spans="1:5" ht="15.75">
      <c r="A14" s="245"/>
      <c r="B14" s="337"/>
      <c r="C14" s="337"/>
      <c r="D14" s="232"/>
      <c r="E14" s="233"/>
    </row>
    <row r="15" spans="1:5" ht="15.75">
      <c r="A15" s="245"/>
      <c r="B15" s="337"/>
      <c r="C15" s="337"/>
      <c r="D15" s="232"/>
      <c r="E15" s="233"/>
    </row>
    <row r="16" spans="1:5" ht="15.75">
      <c r="A16" s="230"/>
      <c r="B16" s="337"/>
      <c r="C16" s="337"/>
      <c r="D16" s="232"/>
      <c r="E16" s="233"/>
    </row>
    <row r="18" spans="2:17" s="207" customFormat="1" ht="15.75">
      <c r="B18" s="234" t="s">
        <v>1077</v>
      </c>
      <c r="C18" s="311"/>
      <c r="D18" s="507"/>
      <c r="E18" s="507"/>
      <c r="F18" s="311"/>
      <c r="G18" s="311"/>
      <c r="H18" s="311"/>
      <c r="I18" s="311"/>
      <c r="K18" s="311"/>
      <c r="L18" s="311"/>
      <c r="M18" s="509"/>
      <c r="N18" s="509"/>
      <c r="O18" s="311"/>
      <c r="P18" s="311"/>
      <c r="Q18" s="311"/>
    </row>
    <row r="19" spans="2:17" s="207" customFormat="1" ht="20.45" customHeight="1">
      <c r="B19" s="221"/>
      <c r="C19" s="217"/>
      <c r="D19" s="523" t="s">
        <v>1078</v>
      </c>
      <c r="E19" s="524" t="s">
        <v>1079</v>
      </c>
      <c r="F19" s="510"/>
      <c r="G19" s="510"/>
      <c r="H19" s="510"/>
      <c r="I19" s="510"/>
      <c r="K19" s="510"/>
      <c r="L19" s="510"/>
      <c r="M19" s="509"/>
      <c r="N19" s="509"/>
      <c r="O19" s="510"/>
      <c r="P19" s="510"/>
      <c r="Q19" s="510"/>
    </row>
    <row r="20" spans="2:17" s="207" customFormat="1" ht="15.75">
      <c r="B20" s="234" t="s">
        <v>1076</v>
      </c>
      <c r="C20" s="311"/>
      <c r="D20" s="529"/>
      <c r="E20" s="529"/>
      <c r="F20" s="311"/>
      <c r="G20" s="311"/>
      <c r="H20" s="311"/>
      <c r="I20" s="311"/>
      <c r="K20" s="311"/>
      <c r="L20" s="311"/>
      <c r="M20" s="509"/>
      <c r="N20" s="509"/>
      <c r="O20" s="311"/>
      <c r="P20" s="311"/>
      <c r="Q20" s="311"/>
    </row>
    <row r="21" spans="2:17" s="207" customFormat="1" ht="24.2" customHeight="1">
      <c r="B21" s="221"/>
      <c r="C21" s="217"/>
      <c r="D21" s="523" t="s">
        <v>1078</v>
      </c>
      <c r="E21" s="524" t="s">
        <v>1079</v>
      </c>
      <c r="F21" s="510"/>
      <c r="G21" s="510"/>
      <c r="H21" s="510"/>
      <c r="I21" s="510"/>
      <c r="K21" s="510"/>
      <c r="L21" s="510"/>
      <c r="M21" s="509"/>
      <c r="N21" s="509"/>
      <c r="O21" s="510"/>
      <c r="P21" s="510"/>
      <c r="Q21" s="510"/>
    </row>
  </sheetData>
  <customSheetViews>
    <customSheetView guid="{CA0FB9E2-E541-4C74-BCFE-D75491869B36}" showPageBreaks="1" printArea="1" view="pageBreakPreview">
      <selection activeCell="E28" sqref="E28"/>
      <pageMargins left="0.70866141732283472" right="0.70866141732283472" top="0.74803149606299213" bottom="0.74803149606299213" header="0.31496062992125984" footer="0.31496062992125984"/>
      <pageSetup paperSize="9" scale="71" orientation="portrait" r:id="rId1"/>
    </customSheetView>
    <customSheetView guid="{F10E3D8B-5892-420A-B023-68C6496D556B}" showPageBreaks="1" printArea="1">
      <selection activeCell="B7" sqref="B7"/>
      <pageMargins left="0.70866141732283472" right="0.70866141732283472" top="0.74803149606299213" bottom="0.74803149606299213" header="0.31496062992125984" footer="0.31496062992125984"/>
      <pageSetup paperSize="9" scale="71" orientation="portrait" r:id="rId2"/>
    </customSheetView>
    <customSheetView guid="{FE7E58EF-FECC-4DF6-BB75-BA97138CB219}" showPageBreaks="1" printArea="1">
      <selection activeCell="B7" sqref="B7"/>
      <pageMargins left="0.70866141732283472" right="0.70866141732283472" top="0.74803149606299213" bottom="0.74803149606299213" header="0.31496062992125984" footer="0.31496062992125984"/>
      <pageSetup paperSize="9" scale="71" orientation="portrait" r:id="rId3"/>
    </customSheetView>
    <customSheetView guid="{43136B00-66C6-4289-99D3-5EF20611F834}" showPageBreaks="1" printArea="1">
      <selection activeCell="A18" sqref="A18:IV21"/>
      <pageMargins left="0.70866141732283472" right="0.70866141732283472" top="0.74803149606299213" bottom="0.74803149606299213" header="0.31496062992125984" footer="0.31496062992125984"/>
      <pageSetup paperSize="9" scale="71" orientation="portrait" r:id="rId4"/>
    </customSheetView>
    <customSheetView guid="{22820B9F-10DE-4629-AF3D-4AF98A9BCEDB}" showPageBreaks="1" printArea="1" view="pageBreakPreview">
      <selection activeCell="C28" sqref="C28"/>
      <pageMargins left="0.70866141732283472" right="0.70866141732283472" top="0.74803149606299213" bottom="0.74803149606299213" header="0.31496062992125984" footer="0.31496062992125984"/>
      <pageSetup paperSize="9" scale="71" orientation="portrait" r:id="rId5"/>
    </customSheetView>
  </customSheetViews>
  <mergeCells count="5">
    <mergeCell ref="A3:E3"/>
    <mergeCell ref="C9:D9"/>
    <mergeCell ref="A9:A10"/>
    <mergeCell ref="B9:B10"/>
    <mergeCell ref="E9:E10"/>
  </mergeCells>
  <phoneticPr fontId="116" type="noConversion"/>
  <pageMargins left="0.70866141732283472" right="0.70866141732283472" top="0.74803149606299213" bottom="0.74803149606299213" header="0.31496062992125984" footer="0.31496062992125984"/>
  <pageSetup paperSize="9" scale="71" orientation="portrait" r:id="rId6"/>
</worksheet>
</file>

<file path=xl/worksheets/sheet72.xml><?xml version="1.0" encoding="utf-8"?>
<worksheet xmlns="http://schemas.openxmlformats.org/spreadsheetml/2006/main" xmlns:r="http://schemas.openxmlformats.org/officeDocument/2006/relationships">
  <sheetPr codeName="Лист36">
    <tabColor rgb="FF3366FF"/>
  </sheetPr>
  <dimension ref="A1:Q45"/>
  <sheetViews>
    <sheetView view="pageBreakPreview" zoomScale="80" zoomScaleNormal="100" zoomScaleSheetLayoutView="80" workbookViewId="0">
      <selection activeCell="C39" sqref="C39"/>
    </sheetView>
  </sheetViews>
  <sheetFormatPr defaultRowHeight="15"/>
  <cols>
    <col min="1" max="1" width="8.42578125" style="56" bestFit="1" customWidth="1"/>
    <col min="2" max="2" width="57.85546875" style="56" customWidth="1"/>
    <col min="3" max="3" width="24.85546875" style="56" customWidth="1"/>
    <col min="4" max="4" width="15.140625" style="56" customWidth="1"/>
    <col min="5" max="16384" width="9.140625" style="56"/>
  </cols>
  <sheetData>
    <row r="1" spans="1:4" ht="15.75">
      <c r="A1" s="428"/>
      <c r="B1" s="428"/>
      <c r="D1" s="209" t="s">
        <v>1796</v>
      </c>
    </row>
    <row r="2" spans="1:4" ht="15.75">
      <c r="A2" s="428"/>
      <c r="B2" s="428"/>
      <c r="C2" s="428"/>
    </row>
    <row r="3" spans="1:4" ht="123.75" customHeight="1">
      <c r="A3" s="1841" t="s">
        <v>1834</v>
      </c>
      <c r="B3" s="1841"/>
      <c r="C3" s="1841"/>
      <c r="D3" s="55"/>
    </row>
    <row r="4" spans="1:4" ht="15.75">
      <c r="A4" s="428"/>
      <c r="B4" s="429" t="s">
        <v>749</v>
      </c>
      <c r="C4" s="429"/>
      <c r="D4" s="57"/>
    </row>
    <row r="5" spans="1:4" s="59" customFormat="1" ht="15.75">
      <c r="A5" s="356" t="s">
        <v>1267</v>
      </c>
      <c r="B5" s="357" t="s">
        <v>1363</v>
      </c>
      <c r="C5" s="357" t="s">
        <v>90</v>
      </c>
      <c r="D5" s="58"/>
    </row>
    <row r="6" spans="1:4" s="59" customFormat="1" ht="15.75">
      <c r="A6" s="356">
        <v>1</v>
      </c>
      <c r="B6" s="357">
        <v>2</v>
      </c>
      <c r="C6" s="357">
        <v>3</v>
      </c>
      <c r="D6" s="58"/>
    </row>
    <row r="7" spans="1:4" s="59" customFormat="1" ht="99.75" hidden="1" customHeight="1">
      <c r="A7" s="356">
        <v>1</v>
      </c>
      <c r="B7" s="358" t="s">
        <v>338</v>
      </c>
      <c r="C7" s="430"/>
      <c r="D7" s="60"/>
    </row>
    <row r="8" spans="1:4" s="59" customFormat="1" ht="127.5" hidden="1" customHeight="1">
      <c r="A8" s="356">
        <v>2</v>
      </c>
      <c r="B8" s="359" t="s">
        <v>1822</v>
      </c>
      <c r="C8" s="430">
        <f>C10+C11</f>
        <v>0</v>
      </c>
      <c r="D8" s="61"/>
    </row>
    <row r="9" spans="1:4" s="59" customFormat="1" ht="15.75" hidden="1">
      <c r="A9" s="356"/>
      <c r="B9" s="359" t="s">
        <v>185</v>
      </c>
      <c r="C9" s="360"/>
      <c r="D9" s="61"/>
    </row>
    <row r="10" spans="1:4" s="59" customFormat="1" ht="15.75" hidden="1">
      <c r="A10" s="361"/>
      <c r="B10" s="359" t="s">
        <v>1823</v>
      </c>
      <c r="C10" s="360"/>
      <c r="D10" s="61"/>
    </row>
    <row r="11" spans="1:4" s="59" customFormat="1" ht="15.75" hidden="1">
      <c r="A11" s="361"/>
      <c r="B11" s="359" t="s">
        <v>1824</v>
      </c>
      <c r="C11" s="360"/>
      <c r="D11" s="61"/>
    </row>
    <row r="12" spans="1:4" s="59" customFormat="1" ht="189" hidden="1">
      <c r="A12" s="356">
        <v>3</v>
      </c>
      <c r="B12" s="359" t="s">
        <v>1825</v>
      </c>
      <c r="C12" s="430">
        <f>C14+C15</f>
        <v>0</v>
      </c>
      <c r="D12" s="63"/>
    </row>
    <row r="13" spans="1:4" s="59" customFormat="1" ht="15.75" hidden="1">
      <c r="A13" s="356"/>
      <c r="B13" s="359" t="s">
        <v>185</v>
      </c>
      <c r="C13" s="362"/>
      <c r="D13" s="63"/>
    </row>
    <row r="14" spans="1:4" s="59" customFormat="1" ht="15.75" hidden="1">
      <c r="A14" s="361"/>
      <c r="B14" s="359" t="s">
        <v>1826</v>
      </c>
      <c r="C14" s="430"/>
      <c r="D14" s="60"/>
    </row>
    <row r="15" spans="1:4" s="59" customFormat="1" ht="15.75" hidden="1">
      <c r="A15" s="361"/>
      <c r="B15" s="359" t="s">
        <v>1827</v>
      </c>
      <c r="C15" s="362"/>
      <c r="D15" s="63"/>
    </row>
    <row r="16" spans="1:4" s="59" customFormat="1" ht="211.5" hidden="1" customHeight="1">
      <c r="A16" s="361" t="s">
        <v>1272</v>
      </c>
      <c r="B16" s="363" t="s">
        <v>1835</v>
      </c>
      <c r="C16" s="430">
        <f>C18+C19</f>
        <v>0</v>
      </c>
      <c r="D16" s="63"/>
    </row>
    <row r="17" spans="1:4" s="59" customFormat="1" ht="15.75" hidden="1">
      <c r="A17" s="361"/>
      <c r="B17" s="359" t="s">
        <v>185</v>
      </c>
      <c r="C17" s="362"/>
      <c r="D17" s="63"/>
    </row>
    <row r="18" spans="1:4" s="59" customFormat="1" ht="15.75" hidden="1">
      <c r="A18" s="361"/>
      <c r="B18" s="359" t="s">
        <v>1837</v>
      </c>
      <c r="C18" s="362"/>
      <c r="D18" s="63"/>
    </row>
    <row r="19" spans="1:4" s="59" customFormat="1" ht="15.75" hidden="1">
      <c r="A19" s="361"/>
      <c r="B19" s="359" t="s">
        <v>1827</v>
      </c>
      <c r="C19" s="362"/>
      <c r="D19" s="63"/>
    </row>
    <row r="20" spans="1:4" s="59" customFormat="1" ht="211.15" hidden="1" customHeight="1">
      <c r="A20" s="361" t="s">
        <v>1829</v>
      </c>
      <c r="B20" s="359" t="s">
        <v>1835</v>
      </c>
      <c r="C20" s="362"/>
      <c r="D20" s="63"/>
    </row>
    <row r="21" spans="1:4" s="59" customFormat="1" ht="148.5" hidden="1" customHeight="1">
      <c r="A21" s="356">
        <v>6</v>
      </c>
      <c r="B21" s="359" t="s">
        <v>1830</v>
      </c>
      <c r="C21" s="430">
        <f>C23+C24</f>
        <v>0</v>
      </c>
      <c r="D21" s="63"/>
    </row>
    <row r="22" spans="1:4" s="59" customFormat="1" ht="15.75" hidden="1">
      <c r="A22" s="356"/>
      <c r="B22" s="359" t="s">
        <v>185</v>
      </c>
      <c r="C22" s="430"/>
      <c r="D22" s="60"/>
    </row>
    <row r="23" spans="1:4" s="59" customFormat="1" ht="47.25" hidden="1">
      <c r="A23" s="356"/>
      <c r="B23" s="231" t="s">
        <v>1757</v>
      </c>
      <c r="C23" s="430"/>
      <c r="D23" s="60"/>
    </row>
    <row r="24" spans="1:4" s="59" customFormat="1" ht="31.5" hidden="1">
      <c r="A24" s="356"/>
      <c r="B24" s="231" t="s">
        <v>1758</v>
      </c>
      <c r="C24" s="430"/>
      <c r="D24" s="60"/>
    </row>
    <row r="25" spans="1:4" s="59" customFormat="1" ht="148.5" hidden="1" customHeight="1">
      <c r="A25" s="356">
        <v>7</v>
      </c>
      <c r="B25" s="359" t="s">
        <v>1831</v>
      </c>
      <c r="C25" s="362"/>
      <c r="D25" s="63"/>
    </row>
    <row r="26" spans="1:4" s="59" customFormat="1" ht="85.15" hidden="1" customHeight="1">
      <c r="A26" s="356">
        <v>8</v>
      </c>
      <c r="B26" s="359" t="s">
        <v>1832</v>
      </c>
      <c r="C26" s="430">
        <f>C28+C29</f>
        <v>0</v>
      </c>
      <c r="D26" s="62"/>
    </row>
    <row r="27" spans="1:4" s="59" customFormat="1" ht="15.75" hidden="1">
      <c r="A27" s="356"/>
      <c r="B27" s="359" t="s">
        <v>185</v>
      </c>
      <c r="C27" s="362"/>
      <c r="D27" s="62"/>
    </row>
    <row r="28" spans="1:4" s="59" customFormat="1" ht="15.75" hidden="1">
      <c r="A28" s="356"/>
      <c r="B28" s="359" t="s">
        <v>1823</v>
      </c>
      <c r="C28" s="362"/>
      <c r="D28" s="62"/>
    </row>
    <row r="29" spans="1:4" s="59" customFormat="1" ht="15.75" hidden="1">
      <c r="A29" s="356"/>
      <c r="B29" s="359" t="s">
        <v>1824</v>
      </c>
      <c r="C29" s="362"/>
      <c r="D29" s="62"/>
    </row>
    <row r="30" spans="1:4" s="59" customFormat="1" ht="261.75" hidden="1" customHeight="1">
      <c r="A30" s="356">
        <v>9</v>
      </c>
      <c r="B30" s="364" t="s">
        <v>1833</v>
      </c>
      <c r="C30" s="431">
        <f>C32+C33+C34</f>
        <v>0</v>
      </c>
      <c r="D30" s="65"/>
    </row>
    <row r="31" spans="1:4" s="59" customFormat="1" ht="15.75" hidden="1">
      <c r="A31" s="356"/>
      <c r="B31" s="359" t="s">
        <v>185</v>
      </c>
      <c r="C31" s="365"/>
      <c r="D31" s="65"/>
    </row>
    <row r="32" spans="1:4" s="59" customFormat="1" ht="31.5" hidden="1" customHeight="1">
      <c r="A32" s="356"/>
      <c r="B32" s="352" t="s">
        <v>96</v>
      </c>
      <c r="C32" s="365"/>
      <c r="D32" s="65"/>
    </row>
    <row r="33" spans="1:17" s="59" customFormat="1" ht="63" hidden="1">
      <c r="A33" s="356"/>
      <c r="B33" s="352" t="s">
        <v>184</v>
      </c>
      <c r="C33" s="365"/>
      <c r="D33" s="65"/>
    </row>
    <row r="34" spans="1:17" s="59" customFormat="1" ht="31.5" hidden="1">
      <c r="A34" s="356"/>
      <c r="B34" s="352" t="s">
        <v>97</v>
      </c>
      <c r="C34" s="432"/>
      <c r="D34" s="64"/>
    </row>
    <row r="35" spans="1:17" ht="69" hidden="1" customHeight="1">
      <c r="A35" s="366">
        <v>10</v>
      </c>
      <c r="B35" s="367" t="s">
        <v>1911</v>
      </c>
      <c r="C35" s="369"/>
      <c r="D35" s="66"/>
    </row>
    <row r="36" spans="1:17" ht="116.25" hidden="1" customHeight="1">
      <c r="A36" s="366">
        <v>11</v>
      </c>
      <c r="B36" s="342" t="s">
        <v>1910</v>
      </c>
      <c r="C36" s="369"/>
      <c r="D36" s="66"/>
    </row>
    <row r="37" spans="1:17" ht="63" hidden="1">
      <c r="A37" s="366">
        <v>12</v>
      </c>
      <c r="B37" s="342" t="s">
        <v>1840</v>
      </c>
      <c r="C37" s="366"/>
      <c r="D37" s="67"/>
    </row>
    <row r="38" spans="1:17" s="43" customFormat="1" ht="180.75" hidden="1" customHeight="1">
      <c r="A38" s="366">
        <v>13</v>
      </c>
      <c r="B38" s="342" t="s">
        <v>1838</v>
      </c>
      <c r="C38" s="366"/>
      <c r="D38" s="67"/>
    </row>
    <row r="39" spans="1:17" s="43" customFormat="1" ht="67.5" customHeight="1">
      <c r="A39" s="356">
        <v>1</v>
      </c>
      <c r="B39" s="363" t="s">
        <v>1839</v>
      </c>
      <c r="C39" s="1282">
        <f ca="1">'Расчет комп надомн 2018'!E9</f>
        <v>61069.926399999997</v>
      </c>
      <c r="D39" s="67"/>
    </row>
    <row r="40" spans="1:17" s="43" customFormat="1" ht="15" customHeight="1">
      <c r="B40" s="68"/>
    </row>
    <row r="41" spans="1:17" s="207" customFormat="1" ht="15.75">
      <c r="A41" s="234" t="s">
        <v>1077</v>
      </c>
      <c r="B41" s="234"/>
      <c r="C41" s="507"/>
      <c r="D41" s="507" t="s">
        <v>1040</v>
      </c>
      <c r="E41" s="311"/>
      <c r="F41" s="311"/>
      <c r="G41" s="311"/>
      <c r="H41" s="311"/>
      <c r="I41" s="311"/>
      <c r="J41" s="311"/>
      <c r="K41" s="311"/>
      <c r="L41" s="311"/>
      <c r="M41" s="509"/>
      <c r="N41" s="509"/>
      <c r="O41" s="311"/>
      <c r="P41" s="311"/>
      <c r="Q41" s="311"/>
    </row>
    <row r="42" spans="1:17" s="207" customFormat="1" ht="31.5" customHeight="1">
      <c r="A42" s="221"/>
      <c r="B42" s="221"/>
      <c r="C42" s="523" t="s">
        <v>1078</v>
      </c>
      <c r="D42" s="524" t="s">
        <v>1079</v>
      </c>
      <c r="E42" s="510"/>
      <c r="F42" s="510"/>
      <c r="G42" s="510"/>
      <c r="H42" s="510"/>
      <c r="I42" s="510"/>
      <c r="J42" s="510"/>
      <c r="K42" s="510"/>
      <c r="L42" s="510"/>
      <c r="M42" s="509"/>
      <c r="N42" s="509"/>
      <c r="O42" s="510"/>
      <c r="P42" s="510"/>
      <c r="Q42" s="510"/>
    </row>
    <row r="43" spans="1:17" s="207" customFormat="1" ht="15.75">
      <c r="A43" s="234" t="s">
        <v>1076</v>
      </c>
      <c r="B43" s="234"/>
      <c r="C43" s="529"/>
      <c r="D43" s="529" t="s">
        <v>1245</v>
      </c>
      <c r="E43" s="311"/>
      <c r="F43" s="311"/>
      <c r="G43" s="311"/>
      <c r="H43" s="311"/>
      <c r="I43" s="311"/>
      <c r="J43" s="311"/>
      <c r="K43" s="311"/>
      <c r="L43" s="311"/>
      <c r="M43" s="509"/>
      <c r="N43" s="509"/>
      <c r="O43" s="311"/>
      <c r="P43" s="311"/>
      <c r="Q43" s="311"/>
    </row>
    <row r="44" spans="1:17" s="207" customFormat="1" ht="31.5" customHeight="1">
      <c r="B44" s="221"/>
      <c r="C44" s="523" t="s">
        <v>1078</v>
      </c>
      <c r="D44" s="524" t="s">
        <v>1079</v>
      </c>
      <c r="E44" s="510"/>
      <c r="F44" s="510"/>
      <c r="G44" s="510"/>
      <c r="H44" s="510"/>
      <c r="I44" s="510"/>
      <c r="J44" s="510"/>
      <c r="K44" s="510"/>
      <c r="L44" s="510"/>
      <c r="M44" s="509"/>
      <c r="N44" s="509"/>
      <c r="O44" s="510"/>
      <c r="P44" s="510"/>
      <c r="Q44" s="510"/>
    </row>
    <row r="45" spans="1:17" s="43" customFormat="1">
      <c r="C45" s="42"/>
    </row>
  </sheetData>
  <customSheetViews>
    <customSheetView guid="{CA0FB9E2-E541-4C74-BCFE-D75491869B36}" showPageBreaks="1" view="pageBreakPreview">
      <pane ySplit="5" topLeftCell="A6" activePane="bottomLeft" state="frozen"/>
      <selection pane="bottomLeft" activeCell="G48" sqref="G48"/>
      <rowBreaks count="1" manualBreakCount="1">
        <brk id="29" max="4" man="1"/>
      </rowBreaks>
      <pageMargins left="0.70866141732283472" right="0.70866141732283472" top="0.74803149606299213" bottom="0.74803149606299213" header="0.31496062992125984" footer="0.31496062992125984"/>
      <pageSetup paperSize="9" scale="72" orientation="portrait" r:id="rId1"/>
    </customSheetView>
    <customSheetView guid="{F10E3D8B-5892-420A-B023-68C6496D556B}" showPageBreaks="1">
      <pane ySplit="4" topLeftCell="A26" activePane="bottomLeft" state="frozen"/>
      <selection pane="bottomLeft" activeCell="A2" sqref="A2:C2"/>
      <pageMargins left="0.70866141732283472" right="0.70866141732283472" top="0.74803149606299213" bottom="0.74803149606299213" header="0.31496062992125984" footer="0.31496062992125984"/>
      <pageSetup paperSize="9" orientation="portrait" r:id="rId2"/>
    </customSheetView>
    <customSheetView guid="{FE7E58EF-FECC-4DF6-BB75-BA97138CB219}" showPageBreaks="1">
      <pane ySplit="4" topLeftCell="A5" activePane="bottomLeft" state="frozen"/>
      <selection pane="bottomLeft" activeCell="A2" sqref="A2:C2"/>
      <pageMargins left="0.70866141732283472" right="0.70866141732283472" top="0.74803149606299213" bottom="0.74803149606299213" header="0.31496062992125984" footer="0.31496062992125984"/>
      <pageSetup paperSize="9" orientation="portrait" r:id="rId3"/>
    </customSheetView>
    <customSheetView guid="{43136B00-66C6-4289-99D3-5EF20611F834}" scale="112" showPageBreaks="1">
      <pane ySplit="5" topLeftCell="A6" activePane="bottomLeft" state="frozen"/>
      <selection pane="bottomLeft" activeCell="A41" sqref="A41:IV44"/>
      <pageMargins left="0.70866141732283472" right="0.70866141732283472" top="0.74803149606299213" bottom="0.74803149606299213" header="0.31496062992125984" footer="0.31496062992125984"/>
      <pageSetup paperSize="9" scale="95" orientation="portrait" r:id="rId4"/>
    </customSheetView>
    <customSheetView guid="{22820B9F-10DE-4629-AF3D-4AF98A9BCEDB}" showPageBreaks="1" view="pageBreakPreview">
      <pane ySplit="5" topLeftCell="A39" activePane="bottomLeft" state="frozen"/>
      <selection pane="bottomLeft" activeCell="I39" sqref="I39"/>
      <rowBreaks count="1" manualBreakCount="1">
        <brk id="29" max="4" man="1"/>
      </rowBreaks>
      <pageMargins left="0.70866141732283472" right="0.70866141732283472" top="0.74803149606299213" bottom="0.74803149606299213" header="0.31496062992125984" footer="0.31496062992125984"/>
      <pageSetup paperSize="9" scale="72" orientation="portrait" r:id="rId5"/>
    </customSheetView>
  </customSheetViews>
  <mergeCells count="1">
    <mergeCell ref="A3:C3"/>
  </mergeCells>
  <phoneticPr fontId="116" type="noConversion"/>
  <pageMargins left="0.70866141732283472" right="0.70866141732283472" top="0.74803149606299213" bottom="0.74803149606299213" header="0.31496062992125984" footer="0.31496062992125984"/>
  <pageSetup paperSize="9" scale="72" orientation="portrait" r:id="rId6"/>
</worksheet>
</file>

<file path=xl/worksheets/sheet73.xml><?xml version="1.0" encoding="utf-8"?>
<worksheet xmlns="http://schemas.openxmlformats.org/spreadsheetml/2006/main" xmlns:r="http://schemas.openxmlformats.org/officeDocument/2006/relationships">
  <sheetPr codeName="Лист45">
    <tabColor theme="9" tint="-0.249977111117893"/>
    <pageSetUpPr fitToPage="1"/>
  </sheetPr>
  <dimension ref="A1:Q15"/>
  <sheetViews>
    <sheetView topLeftCell="A2" workbookViewId="0">
      <selection activeCell="D8" sqref="D8"/>
    </sheetView>
  </sheetViews>
  <sheetFormatPr defaultRowHeight="15"/>
  <cols>
    <col min="1" max="1" width="12.5703125" style="26" customWidth="1"/>
    <col min="2" max="2" width="15.140625" style="26" customWidth="1"/>
    <col min="3" max="3" width="26.140625" style="26" customWidth="1"/>
    <col min="4" max="4" width="12.7109375" style="26" customWidth="1"/>
    <col min="5" max="5" width="17.7109375" style="26" customWidth="1"/>
    <col min="6" max="16384" width="9.140625" style="26"/>
  </cols>
  <sheetData>
    <row r="1" spans="1:17" ht="15.75">
      <c r="A1" s="161"/>
      <c r="B1" s="161"/>
      <c r="C1" s="161"/>
      <c r="D1" s="161"/>
      <c r="E1" s="209" t="s">
        <v>983</v>
      </c>
      <c r="F1" s="161"/>
    </row>
    <row r="2" spans="1:17" ht="15.75">
      <c r="A2" s="161"/>
      <c r="B2" s="161"/>
      <c r="C2" s="161"/>
      <c r="D2" s="161"/>
      <c r="E2" s="209"/>
      <c r="F2" s="161"/>
    </row>
    <row r="3" spans="1:17" ht="94.5" customHeight="1">
      <c r="A3" s="2027" t="s">
        <v>337</v>
      </c>
      <c r="B3" s="2027"/>
      <c r="C3" s="2027"/>
      <c r="D3" s="2027"/>
      <c r="E3" s="2027"/>
      <c r="F3" s="161"/>
    </row>
    <row r="4" spans="1:17" ht="16.7" customHeight="1">
      <c r="A4" s="281"/>
      <c r="B4" s="281"/>
      <c r="C4" s="281" t="s">
        <v>749</v>
      </c>
      <c r="D4" s="281"/>
      <c r="E4" s="281"/>
      <c r="F4" s="161"/>
    </row>
    <row r="5" spans="1:17" ht="113.25" customHeight="1">
      <c r="A5" s="391" t="s">
        <v>1561</v>
      </c>
      <c r="B5" s="391" t="s">
        <v>1562</v>
      </c>
      <c r="C5" s="391" t="s">
        <v>1563</v>
      </c>
      <c r="D5" s="391" t="s">
        <v>1564</v>
      </c>
      <c r="E5" s="228" t="s">
        <v>1037</v>
      </c>
      <c r="F5" s="161"/>
    </row>
    <row r="6" spans="1:17" ht="15.75">
      <c r="A6" s="391">
        <v>1</v>
      </c>
      <c r="B6" s="391">
        <v>2</v>
      </c>
      <c r="C6" s="391">
        <v>3</v>
      </c>
      <c r="D6" s="392">
        <v>4</v>
      </c>
      <c r="E6" s="228">
        <v>5</v>
      </c>
      <c r="F6" s="161"/>
    </row>
    <row r="7" spans="1:17" ht="15.75" hidden="1">
      <c r="A7" s="393" t="s">
        <v>1566</v>
      </c>
      <c r="B7" s="393">
        <v>0</v>
      </c>
      <c r="C7" s="394">
        <v>78.92</v>
      </c>
      <c r="D7" s="1281">
        <v>0</v>
      </c>
      <c r="E7" s="394">
        <f>B7*C7*D7</f>
        <v>0</v>
      </c>
      <c r="F7" s="161"/>
    </row>
    <row r="8" spans="1:17" ht="15.75">
      <c r="A8" s="393" t="s">
        <v>1567</v>
      </c>
      <c r="B8" s="393">
        <v>4</v>
      </c>
      <c r="C8" s="394">
        <f>89.6*1.039</f>
        <v>93.094399999999993</v>
      </c>
      <c r="D8" s="1281">
        <v>164</v>
      </c>
      <c r="E8" s="394">
        <f>B8*C8*D8</f>
        <v>61069.926399999997</v>
      </c>
      <c r="F8" s="161"/>
    </row>
    <row r="9" spans="1:17" ht="15.75">
      <c r="A9" s="2028" t="s">
        <v>183</v>
      </c>
      <c r="B9" s="2029"/>
      <c r="C9" s="2029"/>
      <c r="D9" s="2029"/>
      <c r="E9" s="395">
        <f>SUM(E7:E8)</f>
        <v>61069.926399999997</v>
      </c>
      <c r="F9" s="161"/>
    </row>
    <row r="10" spans="1:17" ht="15.75">
      <c r="A10" s="161"/>
      <c r="B10" s="161"/>
      <c r="C10" s="161"/>
      <c r="D10" s="161"/>
      <c r="E10" s="161"/>
      <c r="F10" s="161"/>
    </row>
    <row r="11" spans="1:17" s="207" customFormat="1" ht="15.75">
      <c r="A11" s="234" t="s">
        <v>1077</v>
      </c>
      <c r="B11" s="234"/>
      <c r="C11" s="507"/>
      <c r="D11" s="311"/>
      <c r="E11" s="507" t="s">
        <v>1040</v>
      </c>
      <c r="F11" s="311"/>
      <c r="G11" s="311"/>
      <c r="H11" s="311"/>
      <c r="I11" s="311"/>
      <c r="J11" s="311"/>
      <c r="K11" s="311"/>
      <c r="L11" s="311"/>
      <c r="M11" s="509"/>
      <c r="N11" s="509"/>
      <c r="O11" s="311"/>
      <c r="P11" s="311"/>
      <c r="Q11" s="311"/>
    </row>
    <row r="12" spans="1:17" s="207" customFormat="1" ht="31.5" customHeight="1">
      <c r="A12" s="221"/>
      <c r="B12" s="221"/>
      <c r="C12" s="523" t="s">
        <v>1078</v>
      </c>
      <c r="D12" s="524"/>
      <c r="E12" s="524" t="s">
        <v>1079</v>
      </c>
      <c r="F12" s="510"/>
      <c r="G12" s="510"/>
      <c r="H12" s="510"/>
      <c r="I12" s="510"/>
      <c r="J12" s="510"/>
      <c r="K12" s="510"/>
      <c r="L12" s="510"/>
      <c r="M12" s="509"/>
      <c r="N12" s="509"/>
      <c r="O12" s="510"/>
      <c r="P12" s="510"/>
      <c r="Q12" s="510"/>
    </row>
    <row r="13" spans="1:17" s="207" customFormat="1" ht="27" customHeight="1">
      <c r="A13" s="234" t="s">
        <v>1076</v>
      </c>
      <c r="B13" s="234"/>
      <c r="C13" s="529"/>
      <c r="D13" s="528"/>
      <c r="E13" s="507" t="s">
        <v>1245</v>
      </c>
      <c r="F13" s="311"/>
      <c r="G13" s="311"/>
      <c r="H13" s="311"/>
      <c r="I13" s="311"/>
      <c r="J13" s="311"/>
      <c r="K13" s="311"/>
      <c r="L13" s="311"/>
      <c r="M13" s="509"/>
      <c r="N13" s="509"/>
      <c r="O13" s="311"/>
      <c r="P13" s="311"/>
      <c r="Q13" s="311"/>
    </row>
    <row r="14" spans="1:17" s="207" customFormat="1" ht="31.5" customHeight="1">
      <c r="B14" s="221"/>
      <c r="C14" s="523" t="s">
        <v>1078</v>
      </c>
      <c r="D14" s="524"/>
      <c r="E14" s="524" t="s">
        <v>1079</v>
      </c>
      <c r="F14" s="510"/>
      <c r="G14" s="510"/>
      <c r="H14" s="510"/>
      <c r="I14" s="510"/>
      <c r="J14" s="510"/>
      <c r="K14" s="510"/>
      <c r="L14" s="510"/>
      <c r="M14" s="509"/>
      <c r="N14" s="509"/>
      <c r="O14" s="510"/>
      <c r="P14" s="510"/>
      <c r="Q14" s="510"/>
    </row>
    <row r="15" spans="1:17">
      <c r="J15" s="77"/>
      <c r="K15" s="77"/>
    </row>
  </sheetData>
  <customSheetViews>
    <customSheetView guid="{CA0FB9E2-E541-4C74-BCFE-D75491869B36}" fitToPage="1">
      <selection activeCell="E12" sqref="E12"/>
      <pageMargins left="1.1811023622047245" right="0.19685039370078741" top="0.74803149606299213" bottom="0.74803149606299213" header="0.31496062992125984" footer="0.31496062992125984"/>
      <pageSetup paperSize="9" orientation="portrait" horizontalDpi="4294967295" verticalDpi="4294967295" r:id="rId1"/>
    </customSheetView>
    <customSheetView guid="{F10E3D8B-5892-420A-B023-68C6496D556B}" fitToPage="1">
      <selection activeCell="A2" sqref="A2:E2"/>
      <pageMargins left="1.1811023622047245" right="0.19685039370078741" top="0.74803149606299213" bottom="0.74803149606299213" header="0.31496062992125984" footer="0.31496062992125984"/>
      <pageSetup paperSize="9" orientation="portrait" horizontalDpi="4294967295" verticalDpi="4294967295" r:id="rId2"/>
    </customSheetView>
    <customSheetView guid="{FE7E58EF-FECC-4DF6-BB75-BA97138CB219}" fitToPage="1">
      <selection activeCell="A2" sqref="A2:E2"/>
      <pageMargins left="1.1811023622047245" right="0.19685039370078741" top="0.74803149606299213" bottom="0.74803149606299213" header="0.31496062992125984" footer="0.31496062992125984"/>
      <pageSetup paperSize="9" orientation="portrait" horizontalDpi="4294967295" verticalDpi="4294967295" r:id="rId3"/>
    </customSheetView>
    <customSheetView guid="{43136B00-66C6-4289-99D3-5EF20611F834}" showPageBreaks="1" fitToPage="1">
      <selection activeCell="A9" sqref="A9:D9"/>
      <pageMargins left="1.1811023622047245" right="0.19685039370078741" top="0.74803149606299213" bottom="0.74803149606299213" header="0.31496062992125984" footer="0.31496062992125984"/>
      <pageSetup paperSize="9" orientation="portrait" horizontalDpi="4294967295" verticalDpi="4294967295" r:id="rId4"/>
    </customSheetView>
    <customSheetView guid="{22820B9F-10DE-4629-AF3D-4AF98A9BCEDB}" fitToPage="1">
      <selection activeCell="A11" sqref="A11:IV14"/>
      <pageMargins left="1.1811023622047245" right="0.19685039370078741" top="0.74803149606299213" bottom="0.74803149606299213" header="0.31496062992125984" footer="0.31496062992125984"/>
      <pageSetup paperSize="9" orientation="portrait" horizontalDpi="4294967295" verticalDpi="4294967295" r:id="rId5"/>
    </customSheetView>
  </customSheetViews>
  <mergeCells count="2">
    <mergeCell ref="A3:E3"/>
    <mergeCell ref="A9:D9"/>
  </mergeCells>
  <phoneticPr fontId="116" type="noConversion"/>
  <pageMargins left="1.1811023622047245" right="0.19685039370078741" top="0.74803149606299213" bottom="0.74803149606299213" header="0.31496062992125984" footer="0.31496062992125984"/>
  <pageSetup paperSize="9" orientation="portrait" horizontalDpi="4294967295" verticalDpi="4294967295" r:id="rId6"/>
  <legacyDrawing r:id="rId7"/>
</worksheet>
</file>

<file path=xl/worksheets/sheet74.xml><?xml version="1.0" encoding="utf-8"?>
<worksheet xmlns="http://schemas.openxmlformats.org/spreadsheetml/2006/main" xmlns:r="http://schemas.openxmlformats.org/officeDocument/2006/relationships">
  <sheetPr>
    <tabColor rgb="FF3366FF"/>
  </sheetPr>
  <dimension ref="A1:Q45"/>
  <sheetViews>
    <sheetView view="pageBreakPreview" topLeftCell="A6" zoomScale="80" zoomScaleNormal="100" zoomScaleSheetLayoutView="80" workbookViewId="0">
      <selection activeCell="C40" sqref="C40"/>
    </sheetView>
  </sheetViews>
  <sheetFormatPr defaultRowHeight="15"/>
  <cols>
    <col min="1" max="1" width="8.42578125" style="56" bestFit="1" customWidth="1"/>
    <col min="2" max="2" width="57.85546875" style="56" customWidth="1"/>
    <col min="3" max="3" width="24.85546875" style="56" customWidth="1"/>
    <col min="4" max="4" width="15.140625" style="56" customWidth="1"/>
    <col min="5" max="16384" width="9.140625" style="56"/>
  </cols>
  <sheetData>
    <row r="1" spans="1:4" ht="15.75">
      <c r="A1" s="428"/>
      <c r="B1" s="428"/>
      <c r="D1" s="209" t="s">
        <v>1796</v>
      </c>
    </row>
    <row r="2" spans="1:4" ht="15.75">
      <c r="A2" s="428"/>
      <c r="B2" s="428"/>
      <c r="C2" s="428"/>
    </row>
    <row r="3" spans="1:4" ht="123.75" customHeight="1">
      <c r="A3" s="1841" t="s">
        <v>1834</v>
      </c>
      <c r="B3" s="1841"/>
      <c r="C3" s="1841"/>
      <c r="D3" s="55"/>
    </row>
    <row r="4" spans="1:4" ht="15.75">
      <c r="A4" s="428"/>
      <c r="B4" s="429" t="s">
        <v>752</v>
      </c>
      <c r="C4" s="429"/>
      <c r="D4" s="57"/>
    </row>
    <row r="5" spans="1:4" s="59" customFormat="1" ht="15.75">
      <c r="A5" s="356" t="s">
        <v>1267</v>
      </c>
      <c r="B5" s="357" t="s">
        <v>1363</v>
      </c>
      <c r="C5" s="357" t="s">
        <v>90</v>
      </c>
      <c r="D5" s="58"/>
    </row>
    <row r="6" spans="1:4" s="59" customFormat="1" ht="15.75">
      <c r="A6" s="356">
        <v>1</v>
      </c>
      <c r="B6" s="357">
        <v>2</v>
      </c>
      <c r="C6" s="357">
        <v>3</v>
      </c>
      <c r="D6" s="58"/>
    </row>
    <row r="7" spans="1:4" s="59" customFormat="1" ht="99.75" hidden="1" customHeight="1">
      <c r="A7" s="356">
        <v>1</v>
      </c>
      <c r="B7" s="358" t="s">
        <v>338</v>
      </c>
      <c r="C7" s="430"/>
      <c r="D7" s="60"/>
    </row>
    <row r="8" spans="1:4" s="59" customFormat="1" ht="127.5" hidden="1" customHeight="1">
      <c r="A8" s="356">
        <v>2</v>
      </c>
      <c r="B8" s="359" t="s">
        <v>1822</v>
      </c>
      <c r="C8" s="430">
        <f>C10+C11</f>
        <v>0</v>
      </c>
      <c r="D8" s="61"/>
    </row>
    <row r="9" spans="1:4" s="59" customFormat="1" ht="15.75" hidden="1">
      <c r="A9" s="356"/>
      <c r="B9" s="359" t="s">
        <v>185</v>
      </c>
      <c r="C9" s="360"/>
      <c r="D9" s="61"/>
    </row>
    <row r="10" spans="1:4" s="59" customFormat="1" ht="15.75" hidden="1">
      <c r="A10" s="361"/>
      <c r="B10" s="359" t="s">
        <v>1823</v>
      </c>
      <c r="C10" s="360"/>
      <c r="D10" s="61"/>
    </row>
    <row r="11" spans="1:4" s="59" customFormat="1" ht="15.75" hidden="1">
      <c r="A11" s="361"/>
      <c r="B11" s="359" t="s">
        <v>1824</v>
      </c>
      <c r="C11" s="360"/>
      <c r="D11" s="61"/>
    </row>
    <row r="12" spans="1:4" s="59" customFormat="1" ht="189" hidden="1">
      <c r="A12" s="356">
        <v>3</v>
      </c>
      <c r="B12" s="359" t="s">
        <v>1825</v>
      </c>
      <c r="C12" s="430">
        <f>C14+C15</f>
        <v>0</v>
      </c>
      <c r="D12" s="63"/>
    </row>
    <row r="13" spans="1:4" s="59" customFormat="1" ht="15.75" hidden="1">
      <c r="A13" s="356"/>
      <c r="B13" s="359" t="s">
        <v>185</v>
      </c>
      <c r="C13" s="362"/>
      <c r="D13" s="63"/>
    </row>
    <row r="14" spans="1:4" s="59" customFormat="1" ht="15.75" hidden="1">
      <c r="A14" s="361"/>
      <c r="B14" s="359" t="s">
        <v>1826</v>
      </c>
      <c r="C14" s="430"/>
      <c r="D14" s="60"/>
    </row>
    <row r="15" spans="1:4" s="59" customFormat="1" ht="15.75" hidden="1">
      <c r="A15" s="361"/>
      <c r="B15" s="359" t="s">
        <v>1827</v>
      </c>
      <c r="C15" s="362"/>
      <c r="D15" s="63"/>
    </row>
    <row r="16" spans="1:4" s="59" customFormat="1" ht="211.5" hidden="1" customHeight="1">
      <c r="A16" s="361" t="s">
        <v>1272</v>
      </c>
      <c r="B16" s="363" t="s">
        <v>1835</v>
      </c>
      <c r="C16" s="430">
        <f>C18+C19</f>
        <v>0</v>
      </c>
      <c r="D16" s="63"/>
    </row>
    <row r="17" spans="1:4" s="59" customFormat="1" ht="15.75" hidden="1">
      <c r="A17" s="361"/>
      <c r="B17" s="359" t="s">
        <v>185</v>
      </c>
      <c r="C17" s="362"/>
      <c r="D17" s="63"/>
    </row>
    <row r="18" spans="1:4" s="59" customFormat="1" ht="15.75" hidden="1">
      <c r="A18" s="361"/>
      <c r="B18" s="359" t="s">
        <v>1837</v>
      </c>
      <c r="C18" s="362"/>
      <c r="D18" s="63"/>
    </row>
    <row r="19" spans="1:4" s="59" customFormat="1" ht="15.75" hidden="1">
      <c r="A19" s="361"/>
      <c r="B19" s="359" t="s">
        <v>1827</v>
      </c>
      <c r="C19" s="362"/>
      <c r="D19" s="63"/>
    </row>
    <row r="20" spans="1:4" s="59" customFormat="1" ht="211.15" hidden="1" customHeight="1">
      <c r="A20" s="361" t="s">
        <v>1829</v>
      </c>
      <c r="B20" s="359" t="s">
        <v>1835</v>
      </c>
      <c r="C20" s="362"/>
      <c r="D20" s="63"/>
    </row>
    <row r="21" spans="1:4" s="59" customFormat="1" ht="148.5" hidden="1" customHeight="1">
      <c r="A21" s="356">
        <v>6</v>
      </c>
      <c r="B21" s="359" t="s">
        <v>1830</v>
      </c>
      <c r="C21" s="430">
        <f>C23+C24</f>
        <v>0</v>
      </c>
      <c r="D21" s="63"/>
    </row>
    <row r="22" spans="1:4" s="59" customFormat="1" ht="15.75" hidden="1">
      <c r="A22" s="356"/>
      <c r="B22" s="359" t="s">
        <v>185</v>
      </c>
      <c r="C22" s="430"/>
      <c r="D22" s="60"/>
    </row>
    <row r="23" spans="1:4" s="59" customFormat="1" ht="47.25" hidden="1">
      <c r="A23" s="356"/>
      <c r="B23" s="231" t="s">
        <v>1757</v>
      </c>
      <c r="C23" s="430"/>
      <c r="D23" s="60"/>
    </row>
    <row r="24" spans="1:4" s="59" customFormat="1" ht="31.5" hidden="1">
      <c r="A24" s="356"/>
      <c r="B24" s="231" t="s">
        <v>1758</v>
      </c>
      <c r="C24" s="430"/>
      <c r="D24" s="60"/>
    </row>
    <row r="25" spans="1:4" s="59" customFormat="1" ht="148.5" hidden="1" customHeight="1">
      <c r="A25" s="356">
        <v>7</v>
      </c>
      <c r="B25" s="359" t="s">
        <v>1831</v>
      </c>
      <c r="C25" s="362"/>
      <c r="D25" s="63"/>
    </row>
    <row r="26" spans="1:4" s="59" customFormat="1" ht="85.15" hidden="1" customHeight="1">
      <c r="A26" s="356">
        <v>8</v>
      </c>
      <c r="B26" s="359" t="s">
        <v>1832</v>
      </c>
      <c r="C26" s="430">
        <f>C28+C29</f>
        <v>0</v>
      </c>
      <c r="D26" s="62"/>
    </row>
    <row r="27" spans="1:4" s="59" customFormat="1" ht="15.75" hidden="1">
      <c r="A27" s="356"/>
      <c r="B27" s="359" t="s">
        <v>185</v>
      </c>
      <c r="C27" s="362"/>
      <c r="D27" s="62"/>
    </row>
    <row r="28" spans="1:4" s="59" customFormat="1" ht="15.75" hidden="1">
      <c r="A28" s="356"/>
      <c r="B28" s="359" t="s">
        <v>1823</v>
      </c>
      <c r="C28" s="362"/>
      <c r="D28" s="62"/>
    </row>
    <row r="29" spans="1:4" s="59" customFormat="1" ht="15.75" hidden="1">
      <c r="A29" s="356"/>
      <c r="B29" s="359" t="s">
        <v>1824</v>
      </c>
      <c r="C29" s="362"/>
      <c r="D29" s="62"/>
    </row>
    <row r="30" spans="1:4" s="59" customFormat="1" ht="261.75" hidden="1" customHeight="1">
      <c r="A30" s="356">
        <v>9</v>
      </c>
      <c r="B30" s="364" t="s">
        <v>1833</v>
      </c>
      <c r="C30" s="431">
        <f>C32+C33+C34</f>
        <v>0</v>
      </c>
      <c r="D30" s="65"/>
    </row>
    <row r="31" spans="1:4" s="59" customFormat="1" ht="15.75" hidden="1">
      <c r="A31" s="356"/>
      <c r="B31" s="359" t="s">
        <v>185</v>
      </c>
      <c r="C31" s="365"/>
      <c r="D31" s="65"/>
    </row>
    <row r="32" spans="1:4" s="59" customFormat="1" ht="31.5" hidden="1" customHeight="1">
      <c r="A32" s="356"/>
      <c r="B32" s="352" t="s">
        <v>96</v>
      </c>
      <c r="C32" s="365"/>
      <c r="D32" s="65"/>
    </row>
    <row r="33" spans="1:17" s="59" customFormat="1" ht="63" hidden="1">
      <c r="A33" s="356"/>
      <c r="B33" s="352" t="s">
        <v>184</v>
      </c>
      <c r="C33" s="365"/>
      <c r="D33" s="65"/>
    </row>
    <row r="34" spans="1:17" s="59" customFormat="1" ht="31.5" hidden="1">
      <c r="A34" s="356"/>
      <c r="B34" s="352" t="s">
        <v>97</v>
      </c>
      <c r="C34" s="432"/>
      <c r="D34" s="64"/>
    </row>
    <row r="35" spans="1:17" ht="69" hidden="1" customHeight="1">
      <c r="A35" s="366">
        <v>10</v>
      </c>
      <c r="B35" s="367" t="s">
        <v>1911</v>
      </c>
      <c r="C35" s="369"/>
      <c r="D35" s="66"/>
    </row>
    <row r="36" spans="1:17" ht="116.25" hidden="1" customHeight="1">
      <c r="A36" s="366">
        <v>11</v>
      </c>
      <c r="B36" s="342" t="s">
        <v>1910</v>
      </c>
      <c r="C36" s="369"/>
      <c r="D36" s="66"/>
    </row>
    <row r="37" spans="1:17" ht="63" hidden="1">
      <c r="A37" s="366">
        <v>12</v>
      </c>
      <c r="B37" s="342" t="s">
        <v>1840</v>
      </c>
      <c r="C37" s="366"/>
      <c r="D37" s="67"/>
    </row>
    <row r="38" spans="1:17" s="43" customFormat="1" ht="180.75" hidden="1" customHeight="1">
      <c r="A38" s="366">
        <v>13</v>
      </c>
      <c r="B38" s="342" t="s">
        <v>1838</v>
      </c>
      <c r="C38" s="366"/>
      <c r="D38" s="67"/>
    </row>
    <row r="39" spans="1:17" s="43" customFormat="1" ht="67.5" customHeight="1">
      <c r="A39" s="356">
        <v>1</v>
      </c>
      <c r="B39" s="363" t="s">
        <v>1839</v>
      </c>
      <c r="C39" s="1282">
        <f ca="1">'Расчет комп надомн 2019'!E9</f>
        <v>45802.444799999997</v>
      </c>
      <c r="D39" s="67"/>
    </row>
    <row r="40" spans="1:17" s="43" customFormat="1" ht="15" customHeight="1">
      <c r="B40" s="68"/>
    </row>
    <row r="41" spans="1:17" s="207" customFormat="1" ht="15.75">
      <c r="A41" s="234" t="s">
        <v>1077</v>
      </c>
      <c r="B41" s="234"/>
      <c r="C41" s="507"/>
      <c r="D41" s="507" t="s">
        <v>1040</v>
      </c>
      <c r="E41" s="311"/>
      <c r="F41" s="311"/>
      <c r="G41" s="311"/>
      <c r="H41" s="311"/>
      <c r="I41" s="311"/>
      <c r="J41" s="311"/>
      <c r="K41" s="311"/>
      <c r="L41" s="311"/>
      <c r="M41" s="509"/>
      <c r="N41" s="509"/>
      <c r="O41" s="311"/>
      <c r="P41" s="311"/>
      <c r="Q41" s="311"/>
    </row>
    <row r="42" spans="1:17" s="207" customFormat="1" ht="31.5" customHeight="1">
      <c r="A42" s="221"/>
      <c r="B42" s="221"/>
      <c r="C42" s="523" t="s">
        <v>1078</v>
      </c>
      <c r="D42" s="524" t="s">
        <v>1079</v>
      </c>
      <c r="E42" s="510"/>
      <c r="F42" s="510"/>
      <c r="G42" s="510"/>
      <c r="H42" s="510"/>
      <c r="I42" s="510"/>
      <c r="J42" s="510"/>
      <c r="K42" s="510"/>
      <c r="L42" s="510"/>
      <c r="M42" s="509"/>
      <c r="N42" s="509"/>
      <c r="O42" s="510"/>
      <c r="P42" s="510"/>
      <c r="Q42" s="510"/>
    </row>
    <row r="43" spans="1:17" s="207" customFormat="1" ht="15.75">
      <c r="A43" s="234" t="s">
        <v>1076</v>
      </c>
      <c r="B43" s="234"/>
      <c r="C43" s="529"/>
      <c r="D43" s="529" t="s">
        <v>1245</v>
      </c>
      <c r="E43" s="311"/>
      <c r="F43" s="311"/>
      <c r="G43" s="311"/>
      <c r="H43" s="311"/>
      <c r="I43" s="311"/>
      <c r="J43" s="311"/>
      <c r="K43" s="311"/>
      <c r="L43" s="311"/>
      <c r="M43" s="509"/>
      <c r="N43" s="509"/>
      <c r="O43" s="311"/>
      <c r="P43" s="311"/>
      <c r="Q43" s="311"/>
    </row>
    <row r="44" spans="1:17" s="207" customFormat="1" ht="31.5" customHeight="1">
      <c r="B44" s="221"/>
      <c r="C44" s="523" t="s">
        <v>1078</v>
      </c>
      <c r="D44" s="524" t="s">
        <v>1079</v>
      </c>
      <c r="E44" s="510"/>
      <c r="F44" s="510"/>
      <c r="G44" s="510"/>
      <c r="H44" s="510"/>
      <c r="I44" s="510"/>
      <c r="J44" s="510"/>
      <c r="K44" s="510"/>
      <c r="L44" s="510"/>
      <c r="M44" s="509"/>
      <c r="N44" s="509"/>
      <c r="O44" s="510"/>
      <c r="P44" s="510"/>
      <c r="Q44" s="510"/>
    </row>
    <row r="45" spans="1:17" s="43" customFormat="1">
      <c r="C45" s="42"/>
    </row>
  </sheetData>
  <mergeCells count="1">
    <mergeCell ref="A3:C3"/>
  </mergeCells>
  <phoneticPr fontId="116" type="noConversion"/>
  <pageMargins left="0.70866141732283472" right="0.70866141732283472" top="0.74803149606299213" bottom="0.74803149606299213" header="0.31496062992125984" footer="0.31496062992125984"/>
  <pageSetup paperSize="9" scale="72" orientation="portrait" r:id="rId1"/>
</worksheet>
</file>

<file path=xl/worksheets/sheet75.xml><?xml version="1.0" encoding="utf-8"?>
<worksheet xmlns="http://schemas.openxmlformats.org/spreadsheetml/2006/main" xmlns:r="http://schemas.openxmlformats.org/officeDocument/2006/relationships">
  <sheetPr>
    <tabColor theme="9" tint="-0.249977111117893"/>
    <pageSetUpPr fitToPage="1"/>
  </sheetPr>
  <dimension ref="A1:Q15"/>
  <sheetViews>
    <sheetView topLeftCell="A4" workbookViewId="0">
      <selection activeCell="C5" sqref="C5"/>
    </sheetView>
  </sheetViews>
  <sheetFormatPr defaultRowHeight="15"/>
  <cols>
    <col min="1" max="1" width="12.5703125" style="26" customWidth="1"/>
    <col min="2" max="2" width="15.140625" style="26" customWidth="1"/>
    <col min="3" max="3" width="26.140625" style="26" customWidth="1"/>
    <col min="4" max="4" width="12.7109375" style="26" customWidth="1"/>
    <col min="5" max="5" width="17.7109375" style="26" customWidth="1"/>
    <col min="6" max="16384" width="9.140625" style="26"/>
  </cols>
  <sheetData>
    <row r="1" spans="1:17" ht="15.75">
      <c r="A1" s="161"/>
      <c r="B1" s="161"/>
      <c r="C1" s="161"/>
      <c r="D1" s="161"/>
      <c r="E1" s="209" t="s">
        <v>983</v>
      </c>
      <c r="F1" s="161"/>
    </row>
    <row r="2" spans="1:17" ht="15.75">
      <c r="A2" s="161"/>
      <c r="B2" s="161"/>
      <c r="C2" s="161"/>
      <c r="D2" s="161"/>
      <c r="E2" s="209"/>
      <c r="F2" s="161"/>
    </row>
    <row r="3" spans="1:17" ht="94.5" customHeight="1">
      <c r="A3" s="2027" t="s">
        <v>337</v>
      </c>
      <c r="B3" s="2027"/>
      <c r="C3" s="2027"/>
      <c r="D3" s="2027"/>
      <c r="E3" s="2027"/>
      <c r="F3" s="161"/>
    </row>
    <row r="4" spans="1:17" ht="16.7" customHeight="1">
      <c r="A4" s="281"/>
      <c r="B4" s="281"/>
      <c r="C4" s="281" t="s">
        <v>752</v>
      </c>
      <c r="D4" s="281"/>
      <c r="E4" s="281"/>
      <c r="F4" s="161"/>
    </row>
    <row r="5" spans="1:17" ht="113.25" customHeight="1">
      <c r="A5" s="391" t="s">
        <v>1561</v>
      </c>
      <c r="B5" s="391" t="s">
        <v>1562</v>
      </c>
      <c r="C5" s="391" t="s">
        <v>1563</v>
      </c>
      <c r="D5" s="391" t="s">
        <v>1564</v>
      </c>
      <c r="E5" s="228" t="s">
        <v>1037</v>
      </c>
      <c r="F5" s="161"/>
    </row>
    <row r="6" spans="1:17" ht="15.75">
      <c r="A6" s="391">
        <v>1</v>
      </c>
      <c r="B6" s="391">
        <v>2</v>
      </c>
      <c r="C6" s="391">
        <v>3</v>
      </c>
      <c r="D6" s="392">
        <v>4</v>
      </c>
      <c r="E6" s="228">
        <v>5</v>
      </c>
      <c r="F6" s="161"/>
    </row>
    <row r="7" spans="1:17" ht="15.75" hidden="1">
      <c r="A7" s="393" t="s">
        <v>1566</v>
      </c>
      <c r="B7" s="393">
        <v>0</v>
      </c>
      <c r="C7" s="394">
        <v>78.92</v>
      </c>
      <c r="D7" s="1281">
        <v>0</v>
      </c>
      <c r="E7" s="394">
        <f>B7*C7*D7</f>
        <v>0</v>
      </c>
      <c r="F7" s="161"/>
    </row>
    <row r="8" spans="1:17" ht="15.75">
      <c r="A8" s="393" t="s">
        <v>1567</v>
      </c>
      <c r="B8" s="393">
        <v>3</v>
      </c>
      <c r="C8" s="394">
        <f>89.6*1.039</f>
        <v>93.094399999999993</v>
      </c>
      <c r="D8" s="1281">
        <v>164</v>
      </c>
      <c r="E8" s="394">
        <f>B8*C8*D8</f>
        <v>45802.444799999997</v>
      </c>
      <c r="F8" s="161"/>
    </row>
    <row r="9" spans="1:17" ht="15.75">
      <c r="A9" s="2028" t="s">
        <v>183</v>
      </c>
      <c r="B9" s="2029"/>
      <c r="C9" s="2029"/>
      <c r="D9" s="2029"/>
      <c r="E9" s="395">
        <f>SUM(E7:E8)</f>
        <v>45802.444799999997</v>
      </c>
      <c r="F9" s="161"/>
    </row>
    <row r="10" spans="1:17" ht="15.75">
      <c r="A10" s="161"/>
      <c r="B10" s="161"/>
      <c r="C10" s="161"/>
      <c r="D10" s="161"/>
      <c r="E10" s="161"/>
      <c r="F10" s="161"/>
    </row>
    <row r="11" spans="1:17" s="207" customFormat="1" ht="15.75">
      <c r="A11" s="234" t="s">
        <v>1077</v>
      </c>
      <c r="B11" s="234"/>
      <c r="C11" s="507"/>
      <c r="D11" s="311"/>
      <c r="E11" s="507" t="s">
        <v>1040</v>
      </c>
      <c r="F11" s="311"/>
      <c r="G11" s="311"/>
      <c r="H11" s="311"/>
      <c r="I11" s="311"/>
      <c r="J11" s="311"/>
      <c r="K11" s="311"/>
      <c r="L11" s="311"/>
      <c r="M11" s="509"/>
      <c r="N11" s="509"/>
      <c r="O11" s="311"/>
      <c r="P11" s="311"/>
      <c r="Q11" s="311"/>
    </row>
    <row r="12" spans="1:17" s="207" customFormat="1" ht="31.5" customHeight="1">
      <c r="A12" s="221"/>
      <c r="B12" s="221"/>
      <c r="C12" s="523" t="s">
        <v>1078</v>
      </c>
      <c r="D12" s="524"/>
      <c r="E12" s="524" t="s">
        <v>1079</v>
      </c>
      <c r="F12" s="510"/>
      <c r="G12" s="510"/>
      <c r="H12" s="510"/>
      <c r="I12" s="510"/>
      <c r="J12" s="510"/>
      <c r="K12" s="510"/>
      <c r="L12" s="510"/>
      <c r="M12" s="509"/>
      <c r="N12" s="509"/>
      <c r="O12" s="510"/>
      <c r="P12" s="510"/>
      <c r="Q12" s="510"/>
    </row>
    <row r="13" spans="1:17" s="207" customFormat="1" ht="27" customHeight="1">
      <c r="A13" s="234" t="s">
        <v>1076</v>
      </c>
      <c r="B13" s="234"/>
      <c r="C13" s="529"/>
      <c r="D13" s="528"/>
      <c r="E13" s="507" t="s">
        <v>1245</v>
      </c>
      <c r="F13" s="311"/>
      <c r="G13" s="311"/>
      <c r="H13" s="311"/>
      <c r="I13" s="311"/>
      <c r="J13" s="311"/>
      <c r="K13" s="311"/>
      <c r="L13" s="311"/>
      <c r="M13" s="509"/>
      <c r="N13" s="509"/>
      <c r="O13" s="311"/>
      <c r="P13" s="311"/>
      <c r="Q13" s="311"/>
    </row>
    <row r="14" spans="1:17" s="207" customFormat="1" ht="31.5" customHeight="1">
      <c r="B14" s="221"/>
      <c r="C14" s="523" t="s">
        <v>1078</v>
      </c>
      <c r="D14" s="524"/>
      <c r="E14" s="524" t="s">
        <v>1079</v>
      </c>
      <c r="F14" s="510"/>
      <c r="G14" s="510"/>
      <c r="H14" s="510"/>
      <c r="I14" s="510"/>
      <c r="J14" s="510"/>
      <c r="K14" s="510"/>
      <c r="L14" s="510"/>
      <c r="M14" s="509"/>
      <c r="N14" s="509"/>
      <c r="O14" s="510"/>
      <c r="P14" s="510"/>
      <c r="Q14" s="510"/>
    </row>
    <row r="15" spans="1:17">
      <c r="J15" s="77"/>
      <c r="K15" s="77"/>
    </row>
  </sheetData>
  <mergeCells count="2">
    <mergeCell ref="A3:E3"/>
    <mergeCell ref="A9:D9"/>
  </mergeCells>
  <phoneticPr fontId="116" type="noConversion"/>
  <pageMargins left="1.1811023622047245" right="0.19685039370078741" top="0.74803149606299213" bottom="0.74803149606299213" header="0.31496062992125984" footer="0.31496062992125984"/>
  <pageSetup paperSize="9" orientation="portrait" horizontalDpi="4294967295" verticalDpi="4294967295" r:id="rId1"/>
  <legacyDrawing r:id="rId2"/>
</worksheet>
</file>

<file path=xl/worksheets/sheet76.xml><?xml version="1.0" encoding="utf-8"?>
<worksheet xmlns="http://schemas.openxmlformats.org/spreadsheetml/2006/main" xmlns:r="http://schemas.openxmlformats.org/officeDocument/2006/relationships">
  <sheetPr>
    <tabColor rgb="FF3366FF"/>
  </sheetPr>
  <dimension ref="A1:Q45"/>
  <sheetViews>
    <sheetView view="pageBreakPreview" zoomScale="80" zoomScaleNormal="100" zoomScaleSheetLayoutView="80" workbookViewId="0">
      <selection activeCell="C40" sqref="C40"/>
    </sheetView>
  </sheetViews>
  <sheetFormatPr defaultRowHeight="15"/>
  <cols>
    <col min="1" max="1" width="8.42578125" style="56" bestFit="1" customWidth="1"/>
    <col min="2" max="2" width="57.85546875" style="56" customWidth="1"/>
    <col min="3" max="3" width="24.85546875" style="56" customWidth="1"/>
    <col min="4" max="4" width="15.140625" style="56" customWidth="1"/>
    <col min="5" max="16384" width="9.140625" style="56"/>
  </cols>
  <sheetData>
    <row r="1" spans="1:4" ht="15.75">
      <c r="A1" s="428"/>
      <c r="B1" s="428"/>
      <c r="D1" s="209" t="s">
        <v>1796</v>
      </c>
    </row>
    <row r="2" spans="1:4" ht="15.75">
      <c r="A2" s="428"/>
      <c r="B2" s="428"/>
      <c r="C2" s="428"/>
    </row>
    <row r="3" spans="1:4" ht="123.75" customHeight="1">
      <c r="A3" s="1841" t="s">
        <v>1834</v>
      </c>
      <c r="B3" s="1841"/>
      <c r="C3" s="1841"/>
      <c r="D3" s="55"/>
    </row>
    <row r="4" spans="1:4" ht="15.75">
      <c r="A4" s="428"/>
      <c r="B4" s="429" t="s">
        <v>753</v>
      </c>
      <c r="C4" s="429"/>
      <c r="D4" s="57"/>
    </row>
    <row r="5" spans="1:4" s="59" customFormat="1" ht="15.75">
      <c r="A5" s="356" t="s">
        <v>1267</v>
      </c>
      <c r="B5" s="357" t="s">
        <v>1363</v>
      </c>
      <c r="C5" s="357" t="s">
        <v>90</v>
      </c>
      <c r="D5" s="58"/>
    </row>
    <row r="6" spans="1:4" s="59" customFormat="1" ht="15.75">
      <c r="A6" s="356">
        <v>1</v>
      </c>
      <c r="B6" s="357">
        <v>2</v>
      </c>
      <c r="C6" s="357">
        <v>3</v>
      </c>
      <c r="D6" s="58"/>
    </row>
    <row r="7" spans="1:4" s="59" customFormat="1" ht="99.75" hidden="1" customHeight="1">
      <c r="A7" s="356">
        <v>1</v>
      </c>
      <c r="B7" s="358" t="s">
        <v>338</v>
      </c>
      <c r="C7" s="430"/>
      <c r="D7" s="60"/>
    </row>
    <row r="8" spans="1:4" s="59" customFormat="1" ht="127.5" hidden="1" customHeight="1">
      <c r="A8" s="356">
        <v>2</v>
      </c>
      <c r="B8" s="359" t="s">
        <v>1822</v>
      </c>
      <c r="C8" s="430">
        <f>C10+C11</f>
        <v>0</v>
      </c>
      <c r="D8" s="61"/>
    </row>
    <row r="9" spans="1:4" s="59" customFormat="1" ht="15.75" hidden="1">
      <c r="A9" s="356"/>
      <c r="B9" s="359" t="s">
        <v>185</v>
      </c>
      <c r="C9" s="360"/>
      <c r="D9" s="61"/>
    </row>
    <row r="10" spans="1:4" s="59" customFormat="1" ht="15.75" hidden="1">
      <c r="A10" s="361"/>
      <c r="B10" s="359" t="s">
        <v>1823</v>
      </c>
      <c r="C10" s="360"/>
      <c r="D10" s="61"/>
    </row>
    <row r="11" spans="1:4" s="59" customFormat="1" ht="15.75" hidden="1">
      <c r="A11" s="361"/>
      <c r="B11" s="359" t="s">
        <v>1824</v>
      </c>
      <c r="C11" s="360"/>
      <c r="D11" s="61"/>
    </row>
    <row r="12" spans="1:4" s="59" customFormat="1" ht="189" hidden="1">
      <c r="A12" s="356">
        <v>3</v>
      </c>
      <c r="B12" s="359" t="s">
        <v>1825</v>
      </c>
      <c r="C12" s="430">
        <f>C14+C15</f>
        <v>0</v>
      </c>
      <c r="D12" s="63"/>
    </row>
    <row r="13" spans="1:4" s="59" customFormat="1" ht="15.75" hidden="1">
      <c r="A13" s="356"/>
      <c r="B13" s="359" t="s">
        <v>185</v>
      </c>
      <c r="C13" s="362"/>
      <c r="D13" s="63"/>
    </row>
    <row r="14" spans="1:4" s="59" customFormat="1" ht="15.75" hidden="1">
      <c r="A14" s="361"/>
      <c r="B14" s="359" t="s">
        <v>1826</v>
      </c>
      <c r="C14" s="430"/>
      <c r="D14" s="60"/>
    </row>
    <row r="15" spans="1:4" s="59" customFormat="1" ht="15.75" hidden="1">
      <c r="A15" s="361"/>
      <c r="B15" s="359" t="s">
        <v>1827</v>
      </c>
      <c r="C15" s="362"/>
      <c r="D15" s="63"/>
    </row>
    <row r="16" spans="1:4" s="59" customFormat="1" ht="211.5" hidden="1" customHeight="1">
      <c r="A16" s="361" t="s">
        <v>1272</v>
      </c>
      <c r="B16" s="363" t="s">
        <v>1835</v>
      </c>
      <c r="C16" s="430">
        <f>C18+C19</f>
        <v>0</v>
      </c>
      <c r="D16" s="63"/>
    </row>
    <row r="17" spans="1:4" s="59" customFormat="1" ht="15.75" hidden="1">
      <c r="A17" s="361"/>
      <c r="B17" s="359" t="s">
        <v>185</v>
      </c>
      <c r="C17" s="362"/>
      <c r="D17" s="63"/>
    </row>
    <row r="18" spans="1:4" s="59" customFormat="1" ht="15.75" hidden="1">
      <c r="A18" s="361"/>
      <c r="B18" s="359" t="s">
        <v>1837</v>
      </c>
      <c r="C18" s="362"/>
      <c r="D18" s="63"/>
    </row>
    <row r="19" spans="1:4" s="59" customFormat="1" ht="15.75" hidden="1">
      <c r="A19" s="361"/>
      <c r="B19" s="359" t="s">
        <v>1827</v>
      </c>
      <c r="C19" s="362"/>
      <c r="D19" s="63"/>
    </row>
    <row r="20" spans="1:4" s="59" customFormat="1" ht="211.15" hidden="1" customHeight="1">
      <c r="A20" s="361" t="s">
        <v>1829</v>
      </c>
      <c r="B20" s="359" t="s">
        <v>1835</v>
      </c>
      <c r="C20" s="362"/>
      <c r="D20" s="63"/>
    </row>
    <row r="21" spans="1:4" s="59" customFormat="1" ht="148.5" hidden="1" customHeight="1">
      <c r="A21" s="356">
        <v>6</v>
      </c>
      <c r="B21" s="359" t="s">
        <v>1830</v>
      </c>
      <c r="C21" s="430">
        <f>C23+C24</f>
        <v>0</v>
      </c>
      <c r="D21" s="63"/>
    </row>
    <row r="22" spans="1:4" s="59" customFormat="1" ht="15.75" hidden="1">
      <c r="A22" s="356"/>
      <c r="B22" s="359" t="s">
        <v>185</v>
      </c>
      <c r="C22" s="430"/>
      <c r="D22" s="60"/>
    </row>
    <row r="23" spans="1:4" s="59" customFormat="1" ht="47.25" hidden="1">
      <c r="A23" s="356"/>
      <c r="B23" s="231" t="s">
        <v>1757</v>
      </c>
      <c r="C23" s="430"/>
      <c r="D23" s="60"/>
    </row>
    <row r="24" spans="1:4" s="59" customFormat="1" ht="31.5" hidden="1">
      <c r="A24" s="356"/>
      <c r="B24" s="231" t="s">
        <v>1758</v>
      </c>
      <c r="C24" s="430"/>
      <c r="D24" s="60"/>
    </row>
    <row r="25" spans="1:4" s="59" customFormat="1" ht="148.5" hidden="1" customHeight="1">
      <c r="A25" s="356">
        <v>7</v>
      </c>
      <c r="B25" s="359" t="s">
        <v>1831</v>
      </c>
      <c r="C25" s="362"/>
      <c r="D25" s="63"/>
    </row>
    <row r="26" spans="1:4" s="59" customFormat="1" ht="85.15" hidden="1" customHeight="1">
      <c r="A26" s="356">
        <v>8</v>
      </c>
      <c r="B26" s="359" t="s">
        <v>1832</v>
      </c>
      <c r="C26" s="430">
        <f>C28+C29</f>
        <v>0</v>
      </c>
      <c r="D26" s="62"/>
    </row>
    <row r="27" spans="1:4" s="59" customFormat="1" ht="15.75" hidden="1">
      <c r="A27" s="356"/>
      <c r="B27" s="359" t="s">
        <v>185</v>
      </c>
      <c r="C27" s="362"/>
      <c r="D27" s="62"/>
    </row>
    <row r="28" spans="1:4" s="59" customFormat="1" ht="15.75" hidden="1">
      <c r="A28" s="356"/>
      <c r="B28" s="359" t="s">
        <v>1823</v>
      </c>
      <c r="C28" s="362"/>
      <c r="D28" s="62"/>
    </row>
    <row r="29" spans="1:4" s="59" customFormat="1" ht="15.75" hidden="1">
      <c r="A29" s="356"/>
      <c r="B29" s="359" t="s">
        <v>1824</v>
      </c>
      <c r="C29" s="362"/>
      <c r="D29" s="62"/>
    </row>
    <row r="30" spans="1:4" s="59" customFormat="1" ht="261.75" hidden="1" customHeight="1">
      <c r="A30" s="356">
        <v>9</v>
      </c>
      <c r="B30" s="364" t="s">
        <v>1833</v>
      </c>
      <c r="C30" s="431">
        <f>C32+C33+C34</f>
        <v>0</v>
      </c>
      <c r="D30" s="65"/>
    </row>
    <row r="31" spans="1:4" s="59" customFormat="1" ht="15.75" hidden="1">
      <c r="A31" s="356"/>
      <c r="B31" s="359" t="s">
        <v>185</v>
      </c>
      <c r="C31" s="365"/>
      <c r="D31" s="65"/>
    </row>
    <row r="32" spans="1:4" s="59" customFormat="1" ht="31.5" hidden="1" customHeight="1">
      <c r="A32" s="356"/>
      <c r="B32" s="352" t="s">
        <v>96</v>
      </c>
      <c r="C32" s="365"/>
      <c r="D32" s="65"/>
    </row>
    <row r="33" spans="1:17" s="59" customFormat="1" ht="63" hidden="1">
      <c r="A33" s="356"/>
      <c r="B33" s="352" t="s">
        <v>184</v>
      </c>
      <c r="C33" s="365"/>
      <c r="D33" s="65"/>
    </row>
    <row r="34" spans="1:17" s="59" customFormat="1" ht="31.5" hidden="1">
      <c r="A34" s="356"/>
      <c r="B34" s="352" t="s">
        <v>97</v>
      </c>
      <c r="C34" s="432"/>
      <c r="D34" s="64"/>
    </row>
    <row r="35" spans="1:17" ht="69" hidden="1" customHeight="1">
      <c r="A35" s="366">
        <v>10</v>
      </c>
      <c r="B35" s="367" t="s">
        <v>1911</v>
      </c>
      <c r="C35" s="369"/>
      <c r="D35" s="66"/>
    </row>
    <row r="36" spans="1:17" ht="116.25" hidden="1" customHeight="1">
      <c r="A36" s="366">
        <v>11</v>
      </c>
      <c r="B36" s="342" t="s">
        <v>1910</v>
      </c>
      <c r="C36" s="369"/>
      <c r="D36" s="66"/>
    </row>
    <row r="37" spans="1:17" ht="63" hidden="1">
      <c r="A37" s="366">
        <v>12</v>
      </c>
      <c r="B37" s="342" t="s">
        <v>1840</v>
      </c>
      <c r="C37" s="366"/>
      <c r="D37" s="67"/>
    </row>
    <row r="38" spans="1:17" s="43" customFormat="1" ht="180.75" hidden="1" customHeight="1">
      <c r="A38" s="366">
        <v>13</v>
      </c>
      <c r="B38" s="342" t="s">
        <v>1838</v>
      </c>
      <c r="C38" s="366"/>
      <c r="D38" s="67"/>
    </row>
    <row r="39" spans="1:17" s="43" customFormat="1" ht="67.5" customHeight="1">
      <c r="A39" s="356">
        <v>1</v>
      </c>
      <c r="B39" s="363" t="s">
        <v>1839</v>
      </c>
      <c r="C39" s="1282">
        <f ca="1">'Расчет комп надомн 2020'!E9</f>
        <v>45802.444799999997</v>
      </c>
      <c r="D39" s="67"/>
    </row>
    <row r="40" spans="1:17" s="43" customFormat="1" ht="15" customHeight="1">
      <c r="B40" s="68"/>
    </row>
    <row r="41" spans="1:17" s="207" customFormat="1" ht="15.75">
      <c r="A41" s="234" t="s">
        <v>1077</v>
      </c>
      <c r="B41" s="234"/>
      <c r="C41" s="507"/>
      <c r="D41" s="507" t="s">
        <v>1040</v>
      </c>
      <c r="E41" s="311"/>
      <c r="F41" s="311"/>
      <c r="G41" s="311"/>
      <c r="H41" s="311"/>
      <c r="I41" s="311"/>
      <c r="J41" s="311"/>
      <c r="K41" s="311"/>
      <c r="L41" s="311"/>
      <c r="M41" s="509"/>
      <c r="N41" s="509"/>
      <c r="O41" s="311"/>
      <c r="P41" s="311"/>
      <c r="Q41" s="311"/>
    </row>
    <row r="42" spans="1:17" s="207" customFormat="1" ht="31.5" customHeight="1">
      <c r="A42" s="221"/>
      <c r="B42" s="221"/>
      <c r="C42" s="523" t="s">
        <v>1078</v>
      </c>
      <c r="D42" s="524" t="s">
        <v>1079</v>
      </c>
      <c r="E42" s="510"/>
      <c r="F42" s="510"/>
      <c r="G42" s="510"/>
      <c r="H42" s="510"/>
      <c r="I42" s="510"/>
      <c r="J42" s="510"/>
      <c r="K42" s="510"/>
      <c r="L42" s="510"/>
      <c r="M42" s="509"/>
      <c r="N42" s="509"/>
      <c r="O42" s="510"/>
      <c r="P42" s="510"/>
      <c r="Q42" s="510"/>
    </row>
    <row r="43" spans="1:17" s="207" customFormat="1" ht="15.75">
      <c r="A43" s="234" t="s">
        <v>1076</v>
      </c>
      <c r="B43" s="234"/>
      <c r="C43" s="529"/>
      <c r="D43" s="529" t="s">
        <v>1245</v>
      </c>
      <c r="E43" s="311"/>
      <c r="F43" s="311"/>
      <c r="G43" s="311"/>
      <c r="H43" s="311"/>
      <c r="I43" s="311"/>
      <c r="J43" s="311"/>
      <c r="K43" s="311"/>
      <c r="L43" s="311"/>
      <c r="M43" s="509"/>
      <c r="N43" s="509"/>
      <c r="O43" s="311"/>
      <c r="P43" s="311"/>
      <c r="Q43" s="311"/>
    </row>
    <row r="44" spans="1:17" s="207" customFormat="1" ht="31.5" customHeight="1">
      <c r="B44" s="221"/>
      <c r="C44" s="523" t="s">
        <v>1078</v>
      </c>
      <c r="D44" s="524" t="s">
        <v>1079</v>
      </c>
      <c r="E44" s="510"/>
      <c r="F44" s="510"/>
      <c r="G44" s="510"/>
      <c r="H44" s="510"/>
      <c r="I44" s="510"/>
      <c r="J44" s="510"/>
      <c r="K44" s="510"/>
      <c r="L44" s="510"/>
      <c r="M44" s="509"/>
      <c r="N44" s="509"/>
      <c r="O44" s="510"/>
      <c r="P44" s="510"/>
      <c r="Q44" s="510"/>
    </row>
    <row r="45" spans="1:17" s="43" customFormat="1">
      <c r="C45" s="42"/>
    </row>
  </sheetData>
  <mergeCells count="1">
    <mergeCell ref="A3:C3"/>
  </mergeCells>
  <phoneticPr fontId="116" type="noConversion"/>
  <pageMargins left="0.70866141732283472" right="0.70866141732283472" top="0.74803149606299213" bottom="0.74803149606299213" header="0.31496062992125984" footer="0.31496062992125984"/>
  <pageSetup paperSize="9" scale="72" orientation="portrait" r:id="rId1"/>
</worksheet>
</file>

<file path=xl/worksheets/sheet77.xml><?xml version="1.0" encoding="utf-8"?>
<worksheet xmlns="http://schemas.openxmlformats.org/spreadsheetml/2006/main" xmlns:r="http://schemas.openxmlformats.org/officeDocument/2006/relationships">
  <sheetPr>
    <tabColor theme="9" tint="-0.249977111117893"/>
    <pageSetUpPr fitToPage="1"/>
  </sheetPr>
  <dimension ref="A1:Q15"/>
  <sheetViews>
    <sheetView topLeftCell="A5" workbookViewId="0">
      <selection activeCell="C5" sqref="C5"/>
    </sheetView>
  </sheetViews>
  <sheetFormatPr defaultRowHeight="15"/>
  <cols>
    <col min="1" max="1" width="12.5703125" style="26" customWidth="1"/>
    <col min="2" max="2" width="15.140625" style="26" customWidth="1"/>
    <col min="3" max="3" width="26.140625" style="26" customWidth="1"/>
    <col min="4" max="4" width="12.7109375" style="26" customWidth="1"/>
    <col min="5" max="5" width="17.7109375" style="26" customWidth="1"/>
    <col min="6" max="16384" width="9.140625" style="26"/>
  </cols>
  <sheetData>
    <row r="1" spans="1:17" ht="15.75">
      <c r="A1" s="161"/>
      <c r="B1" s="161"/>
      <c r="C1" s="161"/>
      <c r="D1" s="161"/>
      <c r="E1" s="209" t="s">
        <v>983</v>
      </c>
      <c r="F1" s="161"/>
    </row>
    <row r="2" spans="1:17" ht="15.75">
      <c r="A2" s="161"/>
      <c r="B2" s="161"/>
      <c r="C2" s="161"/>
      <c r="D2" s="161"/>
      <c r="E2" s="209"/>
      <c r="F2" s="161"/>
    </row>
    <row r="3" spans="1:17" ht="94.5" customHeight="1">
      <c r="A3" s="2027" t="s">
        <v>337</v>
      </c>
      <c r="B3" s="2027"/>
      <c r="C3" s="2027"/>
      <c r="D3" s="2027"/>
      <c r="E3" s="2027"/>
      <c r="F3" s="161"/>
    </row>
    <row r="4" spans="1:17" ht="16.7" customHeight="1">
      <c r="A4" s="281"/>
      <c r="B4" s="281"/>
      <c r="C4" s="281" t="s">
        <v>753</v>
      </c>
      <c r="D4" s="281"/>
      <c r="E4" s="281"/>
      <c r="F4" s="161"/>
    </row>
    <row r="5" spans="1:17" ht="113.25" customHeight="1">
      <c r="A5" s="391" t="s">
        <v>1561</v>
      </c>
      <c r="B5" s="391" t="s">
        <v>1562</v>
      </c>
      <c r="C5" s="391" t="s">
        <v>1563</v>
      </c>
      <c r="D5" s="391" t="s">
        <v>1564</v>
      </c>
      <c r="E5" s="228" t="s">
        <v>1037</v>
      </c>
      <c r="F5" s="161"/>
    </row>
    <row r="6" spans="1:17" ht="15.75">
      <c r="A6" s="391">
        <v>1</v>
      </c>
      <c r="B6" s="391">
        <v>2</v>
      </c>
      <c r="C6" s="391">
        <v>3</v>
      </c>
      <c r="D6" s="392">
        <v>4</v>
      </c>
      <c r="E6" s="228">
        <v>5</v>
      </c>
      <c r="F6" s="161"/>
    </row>
    <row r="7" spans="1:17" ht="15.75" hidden="1">
      <c r="A7" s="393" t="s">
        <v>1566</v>
      </c>
      <c r="B7" s="393">
        <v>0</v>
      </c>
      <c r="C7" s="394">
        <v>78.92</v>
      </c>
      <c r="D7" s="1281">
        <v>0</v>
      </c>
      <c r="E7" s="394">
        <f>B7*C7*D7</f>
        <v>0</v>
      </c>
      <c r="F7" s="161"/>
    </row>
    <row r="8" spans="1:17" ht="15.75">
      <c r="A8" s="393" t="s">
        <v>1567</v>
      </c>
      <c r="B8" s="393">
        <v>3</v>
      </c>
      <c r="C8" s="394">
        <f>89.6*1.039</f>
        <v>93.094399999999993</v>
      </c>
      <c r="D8" s="1281">
        <v>164</v>
      </c>
      <c r="E8" s="394">
        <f>B8*C8*D8</f>
        <v>45802.444799999997</v>
      </c>
      <c r="F8" s="161"/>
    </row>
    <row r="9" spans="1:17" ht="15.75">
      <c r="A9" s="2028" t="s">
        <v>183</v>
      </c>
      <c r="B9" s="2029"/>
      <c r="C9" s="2029"/>
      <c r="D9" s="2029"/>
      <c r="E9" s="395">
        <f>SUM(E7:E8)</f>
        <v>45802.444799999997</v>
      </c>
      <c r="F9" s="161"/>
    </row>
    <row r="10" spans="1:17" ht="15.75">
      <c r="A10" s="161"/>
      <c r="B10" s="161"/>
      <c r="C10" s="161"/>
      <c r="D10" s="161"/>
      <c r="E10" s="161"/>
      <c r="F10" s="161"/>
    </row>
    <row r="11" spans="1:17" s="207" customFormat="1" ht="15.75">
      <c r="A11" s="234" t="s">
        <v>1077</v>
      </c>
      <c r="B11" s="234"/>
      <c r="C11" s="507"/>
      <c r="D11" s="311"/>
      <c r="E11" s="507" t="s">
        <v>1040</v>
      </c>
      <c r="F11" s="311"/>
      <c r="G11" s="311"/>
      <c r="H11" s="311"/>
      <c r="I11" s="311"/>
      <c r="J11" s="311"/>
      <c r="K11" s="311"/>
      <c r="L11" s="311"/>
      <c r="M11" s="509"/>
      <c r="N11" s="509"/>
      <c r="O11" s="311"/>
      <c r="P11" s="311"/>
      <c r="Q11" s="311"/>
    </row>
    <row r="12" spans="1:17" s="207" customFormat="1" ht="31.5" customHeight="1">
      <c r="A12" s="221"/>
      <c r="B12" s="221"/>
      <c r="C12" s="523" t="s">
        <v>1078</v>
      </c>
      <c r="D12" s="524"/>
      <c r="E12" s="524" t="s">
        <v>1079</v>
      </c>
      <c r="F12" s="510"/>
      <c r="G12" s="510"/>
      <c r="H12" s="510"/>
      <c r="I12" s="510"/>
      <c r="J12" s="510"/>
      <c r="K12" s="510"/>
      <c r="L12" s="510"/>
      <c r="M12" s="509"/>
      <c r="N12" s="509"/>
      <c r="O12" s="510"/>
      <c r="P12" s="510"/>
      <c r="Q12" s="510"/>
    </row>
    <row r="13" spans="1:17" s="207" customFormat="1" ht="27" customHeight="1">
      <c r="A13" s="234" t="s">
        <v>1076</v>
      </c>
      <c r="B13" s="234"/>
      <c r="C13" s="529"/>
      <c r="D13" s="528"/>
      <c r="E13" s="507" t="s">
        <v>1245</v>
      </c>
      <c r="F13" s="311"/>
      <c r="G13" s="311"/>
      <c r="H13" s="311"/>
      <c r="I13" s="311"/>
      <c r="J13" s="311"/>
      <c r="K13" s="311"/>
      <c r="L13" s="311"/>
      <c r="M13" s="509"/>
      <c r="N13" s="509"/>
      <c r="O13" s="311"/>
      <c r="P13" s="311"/>
      <c r="Q13" s="311"/>
    </row>
    <row r="14" spans="1:17" s="207" customFormat="1" ht="31.5" customHeight="1">
      <c r="B14" s="221"/>
      <c r="C14" s="523" t="s">
        <v>1078</v>
      </c>
      <c r="D14" s="524"/>
      <c r="E14" s="524" t="s">
        <v>1079</v>
      </c>
      <c r="F14" s="510"/>
      <c r="G14" s="510"/>
      <c r="H14" s="510"/>
      <c r="I14" s="510"/>
      <c r="J14" s="510"/>
      <c r="K14" s="510"/>
      <c r="L14" s="510"/>
      <c r="M14" s="509"/>
      <c r="N14" s="509"/>
      <c r="O14" s="510"/>
      <c r="P14" s="510"/>
      <c r="Q14" s="510"/>
    </row>
    <row r="15" spans="1:17">
      <c r="J15" s="77"/>
      <c r="K15" s="77"/>
    </row>
  </sheetData>
  <mergeCells count="2">
    <mergeCell ref="A3:E3"/>
    <mergeCell ref="A9:D9"/>
  </mergeCells>
  <phoneticPr fontId="116" type="noConversion"/>
  <pageMargins left="1.1811023622047245" right="0.19685039370078741" top="0.74803149606299213" bottom="0.74803149606299213" header="0.31496062992125984" footer="0.31496062992125984"/>
  <pageSetup paperSize="9" orientation="portrait" horizontalDpi="4294967295" verticalDpi="4294967295" r:id="rId1"/>
  <legacyDrawing r:id="rId2"/>
</worksheet>
</file>

<file path=xl/worksheets/sheet78.xml><?xml version="1.0" encoding="utf-8"?>
<worksheet xmlns="http://schemas.openxmlformats.org/spreadsheetml/2006/main" xmlns:r="http://schemas.openxmlformats.org/officeDocument/2006/relationships">
  <sheetPr>
    <tabColor rgb="FF00FF00"/>
    <pageSetUpPr fitToPage="1"/>
  </sheetPr>
  <dimension ref="A1:Q49"/>
  <sheetViews>
    <sheetView workbookViewId="0">
      <selection activeCell="D14" sqref="D14"/>
    </sheetView>
  </sheetViews>
  <sheetFormatPr defaultRowHeight="15"/>
  <cols>
    <col min="1" max="1" width="43.140625" style="1272" customWidth="1"/>
    <col min="2" max="2" width="15.85546875" style="1272" customWidth="1"/>
    <col min="3" max="3" width="15.42578125" style="1272" customWidth="1"/>
    <col min="4" max="4" width="16" style="1272" customWidth="1"/>
    <col min="5" max="16384" width="9.140625" style="1272"/>
  </cols>
  <sheetData>
    <row r="1" spans="1:7" ht="15.75">
      <c r="D1" s="785" t="s">
        <v>1001</v>
      </c>
    </row>
    <row r="2" spans="1:7" ht="33.75" customHeight="1">
      <c r="A2" s="2030" t="s">
        <v>484</v>
      </c>
      <c r="B2" s="2030"/>
      <c r="C2" s="2030"/>
      <c r="D2" s="2030"/>
      <c r="E2" s="784"/>
      <c r="F2" s="784"/>
      <c r="G2" s="784"/>
    </row>
    <row r="3" spans="1:7">
      <c r="A3" s="784"/>
      <c r="B3" s="784"/>
      <c r="C3" s="784"/>
      <c r="D3" s="784"/>
      <c r="E3" s="784"/>
      <c r="F3" s="784"/>
      <c r="G3" s="784"/>
    </row>
    <row r="4" spans="1:7" ht="34.700000000000003" customHeight="1">
      <c r="A4" s="547"/>
      <c r="B4" s="318" t="s">
        <v>485</v>
      </c>
      <c r="C4" s="318" t="s">
        <v>486</v>
      </c>
      <c r="D4" s="335" t="s">
        <v>1000</v>
      </c>
      <c r="E4" s="1273"/>
      <c r="F4" s="1273"/>
      <c r="G4" s="1273"/>
    </row>
    <row r="5" spans="1:7" ht="26.25" customHeight="1">
      <c r="A5" s="1274" t="s">
        <v>999</v>
      </c>
      <c r="B5" s="1256">
        <f>B6+B10+B24+B33</f>
        <v>78</v>
      </c>
      <c r="C5" s="1256">
        <f>C6+C10+C24+C33</f>
        <v>78</v>
      </c>
      <c r="D5" s="1256">
        <f>ROUND((B5*8+C5*4)/12,0)</f>
        <v>78</v>
      </c>
      <c r="E5" s="1273"/>
      <c r="F5" s="1273"/>
      <c r="G5" s="1273"/>
    </row>
    <row r="6" spans="1:7" ht="24.2" customHeight="1">
      <c r="A6" s="1274" t="s">
        <v>1782</v>
      </c>
      <c r="B6" s="1256">
        <f>B7+B8+B9</f>
        <v>37</v>
      </c>
      <c r="C6" s="1256">
        <f>C7+C8+C9</f>
        <v>38</v>
      </c>
      <c r="D6" s="1256">
        <f>ROUND((B6*8+C6*4)/12,0)</f>
        <v>37</v>
      </c>
      <c r="E6" s="1273"/>
      <c r="F6" s="1273"/>
      <c r="G6" s="1273"/>
    </row>
    <row r="7" spans="1:7" ht="15.75" hidden="1">
      <c r="A7" s="796" t="s">
        <v>998</v>
      </c>
      <c r="B7" s="547"/>
      <c r="C7" s="547"/>
      <c r="D7" s="547">
        <f>ROUND((B7*8+C7*4)/12,0)</f>
        <v>0</v>
      </c>
      <c r="E7" s="1273"/>
      <c r="F7" s="1273"/>
      <c r="G7" s="1273"/>
    </row>
    <row r="8" spans="1:7" ht="15.75">
      <c r="A8" s="796" t="s">
        <v>997</v>
      </c>
      <c r="B8" s="547">
        <v>6</v>
      </c>
      <c r="C8" s="547">
        <v>8</v>
      </c>
      <c r="D8" s="547">
        <f>ROUND((B8*8+C8*4)/12,0)</f>
        <v>7</v>
      </c>
      <c r="E8" s="1273"/>
      <c r="F8" s="1273"/>
      <c r="G8" s="1273"/>
    </row>
    <row r="9" spans="1:7" ht="15.75">
      <c r="A9" s="796" t="s">
        <v>996</v>
      </c>
      <c r="B9" s="547">
        <v>31</v>
      </c>
      <c r="C9" s="547">
        <v>30</v>
      </c>
      <c r="D9" s="547">
        <f>ROUND((B9*8+C9*4)/12,0)</f>
        <v>31</v>
      </c>
      <c r="E9" s="1273"/>
      <c r="F9" s="1273"/>
      <c r="G9" s="1273"/>
    </row>
    <row r="10" spans="1:7" ht="21.75" customHeight="1">
      <c r="A10" s="1274" t="s">
        <v>1783</v>
      </c>
      <c r="B10" s="1256">
        <f>B11+B14+B17</f>
        <v>36</v>
      </c>
      <c r="C10" s="1256">
        <f>C11+C14+C17</f>
        <v>37</v>
      </c>
      <c r="D10" s="1256">
        <f>D11+D14+D17</f>
        <v>37</v>
      </c>
      <c r="E10" s="1273"/>
      <c r="F10" s="1273"/>
      <c r="G10" s="1273"/>
    </row>
    <row r="11" spans="1:7" ht="15.75" hidden="1">
      <c r="A11" s="1275" t="s">
        <v>991</v>
      </c>
      <c r="B11" s="547"/>
      <c r="C11" s="547"/>
      <c r="D11" s="547">
        <f t="shared" ref="D11:D17" si="0">ROUND((B11*8+C11*4)/12,0)</f>
        <v>0</v>
      </c>
      <c r="E11" s="1273"/>
      <c r="F11" s="1273"/>
      <c r="G11" s="1273"/>
    </row>
    <row r="12" spans="1:7" ht="15.75" hidden="1">
      <c r="A12" s="796" t="s">
        <v>989</v>
      </c>
      <c r="B12" s="547"/>
      <c r="C12" s="547"/>
      <c r="D12" s="547">
        <f t="shared" si="0"/>
        <v>0</v>
      </c>
      <c r="E12" s="1273"/>
      <c r="F12" s="1273"/>
      <c r="G12" s="1273"/>
    </row>
    <row r="13" spans="1:7" ht="15" hidden="1" customHeight="1">
      <c r="A13" s="796" t="s">
        <v>988</v>
      </c>
      <c r="B13" s="547"/>
      <c r="C13" s="547"/>
      <c r="D13" s="547">
        <f t="shared" si="0"/>
        <v>0</v>
      </c>
      <c r="E13" s="1273"/>
      <c r="F13" s="1273"/>
      <c r="G13" s="1273"/>
    </row>
    <row r="14" spans="1:7" ht="15.75">
      <c r="A14" s="1275" t="s">
        <v>994</v>
      </c>
      <c r="B14" s="547">
        <v>10</v>
      </c>
      <c r="C14" s="547">
        <v>12</v>
      </c>
      <c r="D14" s="547">
        <f>D15+D16</f>
        <v>11</v>
      </c>
      <c r="E14" s="1273"/>
      <c r="F14" s="1273"/>
      <c r="G14" s="1273"/>
    </row>
    <row r="15" spans="1:7" ht="15.75">
      <c r="A15" s="1278" t="s">
        <v>989</v>
      </c>
      <c r="B15" s="1279">
        <v>10</v>
      </c>
      <c r="C15" s="1279">
        <v>9</v>
      </c>
      <c r="D15" s="1279">
        <f t="shared" si="0"/>
        <v>10</v>
      </c>
      <c r="E15" s="1273"/>
      <c r="F15" s="1273"/>
      <c r="G15" s="1273"/>
    </row>
    <row r="16" spans="1:7" ht="15.75">
      <c r="A16" s="1278" t="s">
        <v>988</v>
      </c>
      <c r="B16" s="1279">
        <v>0</v>
      </c>
      <c r="C16" s="1279">
        <v>3</v>
      </c>
      <c r="D16" s="1279">
        <f t="shared" si="0"/>
        <v>1</v>
      </c>
      <c r="E16" s="1273"/>
      <c r="F16" s="1273"/>
      <c r="G16" s="1273"/>
    </row>
    <row r="17" spans="1:7" ht="15.75">
      <c r="A17" s="1275" t="s">
        <v>993</v>
      </c>
      <c r="B17" s="547">
        <v>26</v>
      </c>
      <c r="C17" s="547">
        <v>25</v>
      </c>
      <c r="D17" s="547">
        <f t="shared" si="0"/>
        <v>26</v>
      </c>
      <c r="E17" s="1273"/>
      <c r="F17" s="1273"/>
      <c r="G17" s="1273"/>
    </row>
    <row r="18" spans="1:7" ht="15.75">
      <c r="A18" s="1278" t="s">
        <v>989</v>
      </c>
      <c r="B18" s="1279">
        <v>15</v>
      </c>
      <c r="C18" s="1279">
        <v>13</v>
      </c>
      <c r="D18" s="1279">
        <f>ROUND((B18*8+C18*4)/12,0)+1</f>
        <v>15</v>
      </c>
      <c r="E18" s="1273"/>
      <c r="F18" s="1273"/>
      <c r="G18" s="1273"/>
    </row>
    <row r="19" spans="1:7" ht="15.75">
      <c r="A19" s="1278" t="s">
        <v>988</v>
      </c>
      <c r="B19" s="1279">
        <v>11</v>
      </c>
      <c r="C19" s="1279">
        <v>12</v>
      </c>
      <c r="D19" s="1279">
        <f>ROUND((B19*8+C19*4)/12,0)</f>
        <v>11</v>
      </c>
      <c r="E19" s="1273"/>
      <c r="F19" s="1273"/>
      <c r="G19" s="1273"/>
    </row>
    <row r="20" spans="1:7" ht="53.25" hidden="1" customHeight="1">
      <c r="A20" s="548" t="s">
        <v>995</v>
      </c>
      <c r="B20" s="1256">
        <f>B21+B22+B23</f>
        <v>0</v>
      </c>
      <c r="C20" s="1256">
        <f>C21+C22+C23</f>
        <v>0</v>
      </c>
      <c r="D20" s="1256">
        <f>D21+D22+D23</f>
        <v>0</v>
      </c>
      <c r="E20" s="1273"/>
      <c r="F20" s="1273"/>
      <c r="G20" s="1273"/>
    </row>
    <row r="21" spans="1:7" ht="15.75" hidden="1">
      <c r="A21" s="1275" t="s">
        <v>991</v>
      </c>
      <c r="B21" s="547">
        <v>0</v>
      </c>
      <c r="C21" s="547">
        <v>0</v>
      </c>
      <c r="D21" s="547">
        <f>ROUND((B21*8+C21*4)/12,0)</f>
        <v>0</v>
      </c>
      <c r="E21" s="1273"/>
      <c r="F21" s="1273"/>
      <c r="G21" s="1273"/>
    </row>
    <row r="22" spans="1:7" ht="15.75" hidden="1">
      <c r="A22" s="1275" t="s">
        <v>994</v>
      </c>
      <c r="B22" s="547">
        <v>0</v>
      </c>
      <c r="C22" s="547">
        <v>0</v>
      </c>
      <c r="D22" s="547">
        <f>ROUND((B22*8+C22*4)/12,0)</f>
        <v>0</v>
      </c>
      <c r="E22" s="1273"/>
      <c r="F22" s="1273"/>
      <c r="G22" s="1273"/>
    </row>
    <row r="23" spans="1:7" ht="15.75" hidden="1">
      <c r="A23" s="1275" t="s">
        <v>993</v>
      </c>
      <c r="B23" s="547">
        <v>0</v>
      </c>
      <c r="C23" s="547">
        <v>0</v>
      </c>
      <c r="D23" s="547">
        <f>ROUND((B23*8+C23*4)/12,0)</f>
        <v>0</v>
      </c>
      <c r="E23" s="1273"/>
      <c r="F23" s="1273"/>
      <c r="G23" s="1273"/>
    </row>
    <row r="24" spans="1:7" ht="30" hidden="1" customHeight="1">
      <c r="A24" s="1276" t="s">
        <v>992</v>
      </c>
      <c r="B24" s="1256">
        <f>B25+B28</f>
        <v>0</v>
      </c>
      <c r="C24" s="1256">
        <f>C25+C28</f>
        <v>0</v>
      </c>
      <c r="D24" s="1256">
        <f>D25+D28</f>
        <v>0</v>
      </c>
      <c r="E24" s="1273"/>
      <c r="F24" s="1273"/>
      <c r="G24" s="1273"/>
    </row>
    <row r="25" spans="1:7" ht="15.75" hidden="1">
      <c r="A25" s="1275" t="s">
        <v>991</v>
      </c>
      <c r="B25" s="547"/>
      <c r="C25" s="547"/>
      <c r="D25" s="547">
        <f t="shared" ref="D25:D32" si="1">ROUND((B25*8+C25*4)/12,0)</f>
        <v>0</v>
      </c>
      <c r="E25" s="1273"/>
      <c r="F25" s="1273"/>
      <c r="G25" s="1273"/>
    </row>
    <row r="26" spans="1:7" ht="15.75" hidden="1">
      <c r="A26" s="796" t="s">
        <v>989</v>
      </c>
      <c r="B26" s="547"/>
      <c r="C26" s="547"/>
      <c r="D26" s="547">
        <f t="shared" si="1"/>
        <v>0</v>
      </c>
      <c r="E26" s="1273"/>
      <c r="F26" s="1273"/>
      <c r="G26" s="1273"/>
    </row>
    <row r="27" spans="1:7" ht="15.75" hidden="1">
      <c r="A27" s="796" t="s">
        <v>988</v>
      </c>
      <c r="B27" s="547"/>
      <c r="C27" s="547"/>
      <c r="D27" s="547">
        <f t="shared" si="1"/>
        <v>0</v>
      </c>
      <c r="E27" s="1273"/>
      <c r="F27" s="1273"/>
      <c r="G27" s="1273"/>
    </row>
    <row r="28" spans="1:7" ht="15.75" hidden="1">
      <c r="A28" s="1277" t="s">
        <v>990</v>
      </c>
      <c r="B28" s="547"/>
      <c r="C28" s="547"/>
      <c r="D28" s="547">
        <f t="shared" si="1"/>
        <v>0</v>
      </c>
      <c r="E28" s="1273"/>
      <c r="F28" s="1273"/>
      <c r="G28" s="1273"/>
    </row>
    <row r="29" spans="1:7" ht="15.75" hidden="1">
      <c r="A29" s="796" t="s">
        <v>989</v>
      </c>
      <c r="B29" s="547"/>
      <c r="C29" s="547"/>
      <c r="D29" s="547">
        <f t="shared" si="1"/>
        <v>0</v>
      </c>
      <c r="E29" s="1273"/>
      <c r="F29" s="1273"/>
      <c r="G29" s="1273"/>
    </row>
    <row r="30" spans="1:7" ht="15.75" hidden="1">
      <c r="A30" s="796" t="s">
        <v>987</v>
      </c>
      <c r="B30" s="547"/>
      <c r="C30" s="547"/>
      <c r="D30" s="547">
        <f t="shared" si="1"/>
        <v>0</v>
      </c>
      <c r="E30" s="1273"/>
      <c r="F30" s="1273"/>
      <c r="G30" s="1273"/>
    </row>
    <row r="31" spans="1:7" ht="15.75" hidden="1">
      <c r="A31" s="796" t="s">
        <v>988</v>
      </c>
      <c r="B31" s="547"/>
      <c r="C31" s="547"/>
      <c r="D31" s="547">
        <f t="shared" si="1"/>
        <v>0</v>
      </c>
      <c r="E31" s="1273"/>
      <c r="F31" s="1273"/>
      <c r="G31" s="1273"/>
    </row>
    <row r="32" spans="1:7" ht="15.75" hidden="1">
      <c r="A32" s="796" t="s">
        <v>987</v>
      </c>
      <c r="B32" s="547"/>
      <c r="C32" s="547"/>
      <c r="D32" s="547">
        <f t="shared" si="1"/>
        <v>0</v>
      </c>
      <c r="E32" s="1273"/>
      <c r="F32" s="1273"/>
      <c r="G32" s="1273"/>
    </row>
    <row r="33" spans="1:17" ht="25.5" customHeight="1">
      <c r="A33" s="1274" t="s">
        <v>986</v>
      </c>
      <c r="B33" s="1256">
        <f>B34+B35</f>
        <v>5</v>
      </c>
      <c r="C33" s="1256">
        <f>C34+C35</f>
        <v>3</v>
      </c>
      <c r="D33" s="1256">
        <f>D34+D35</f>
        <v>4</v>
      </c>
      <c r="E33" s="1273"/>
      <c r="F33" s="1273"/>
      <c r="G33" s="1273"/>
    </row>
    <row r="34" spans="1:17" ht="17.25" customHeight="1">
      <c r="A34" s="1275" t="s">
        <v>985</v>
      </c>
      <c r="B34" s="547">
        <v>0</v>
      </c>
      <c r="C34" s="547">
        <v>0</v>
      </c>
      <c r="D34" s="547">
        <f>ROUND((B34*8+C34*4)/12,0)</f>
        <v>0</v>
      </c>
      <c r="E34" s="1273"/>
      <c r="F34" s="1273"/>
      <c r="G34" s="1273"/>
    </row>
    <row r="35" spans="1:17" ht="19.5" customHeight="1">
      <c r="A35" s="1275" t="s">
        <v>984</v>
      </c>
      <c r="B35" s="547">
        <v>5</v>
      </c>
      <c r="C35" s="547">
        <v>3</v>
      </c>
      <c r="D35" s="547">
        <f>ROUND((B35*8+C35*4)/12,0)</f>
        <v>4</v>
      </c>
      <c r="E35" s="1273"/>
      <c r="F35" s="1273"/>
      <c r="G35" s="1273"/>
    </row>
    <row r="36" spans="1:17">
      <c r="A36" s="1273"/>
      <c r="B36" s="1273"/>
      <c r="C36" s="1273"/>
      <c r="D36" s="1273"/>
      <c r="E36" s="1273"/>
      <c r="F36" s="1273"/>
      <c r="G36" s="1273"/>
    </row>
    <row r="37" spans="1:17">
      <c r="A37" s="1273"/>
      <c r="B37" s="1273"/>
      <c r="C37" s="1273"/>
      <c r="D37" s="1273"/>
      <c r="E37" s="1273"/>
      <c r="F37" s="1273"/>
      <c r="G37" s="1273"/>
    </row>
    <row r="38" spans="1:17">
      <c r="A38" s="1273"/>
      <c r="B38" s="1273"/>
      <c r="C38" s="1273"/>
      <c r="D38" s="1273"/>
      <c r="E38" s="1273"/>
      <c r="F38" s="1273"/>
      <c r="G38" s="1273"/>
    </row>
    <row r="39" spans="1:17" s="671" customFormat="1" ht="15.75">
      <c r="A39" s="669" t="s">
        <v>1077</v>
      </c>
      <c r="B39" s="787"/>
      <c r="C39" s="1825" t="s">
        <v>1040</v>
      </c>
      <c r="D39" s="1825"/>
      <c r="E39" s="664"/>
      <c r="F39" s="664"/>
      <c r="G39" s="664"/>
      <c r="H39" s="664"/>
      <c r="I39" s="664"/>
      <c r="J39" s="664"/>
      <c r="K39" s="664"/>
      <c r="L39" s="664"/>
      <c r="M39" s="801"/>
      <c r="N39" s="801"/>
      <c r="O39" s="664"/>
      <c r="P39" s="664"/>
      <c r="Q39" s="664"/>
    </row>
    <row r="40" spans="1:17" s="671" customFormat="1" ht="31.5" customHeight="1">
      <c r="A40" s="670"/>
      <c r="B40" s="699" t="s">
        <v>1078</v>
      </c>
      <c r="C40" s="2031" t="s">
        <v>1079</v>
      </c>
      <c r="D40" s="2031"/>
      <c r="E40" s="801"/>
      <c r="F40" s="702"/>
      <c r="G40" s="702"/>
      <c r="H40" s="702"/>
      <c r="I40" s="702"/>
      <c r="J40" s="702"/>
      <c r="K40" s="702"/>
      <c r="L40" s="702"/>
      <c r="M40" s="801"/>
      <c r="N40" s="801"/>
      <c r="O40" s="702"/>
      <c r="P40" s="702"/>
      <c r="Q40" s="702"/>
    </row>
    <row r="41" spans="1:17" s="671" customFormat="1" ht="15.75">
      <c r="A41" s="669" t="s">
        <v>1076</v>
      </c>
      <c r="B41" s="787"/>
      <c r="C41" s="1826" t="s">
        <v>1784</v>
      </c>
      <c r="D41" s="1826"/>
      <c r="E41" s="666"/>
      <c r="F41" s="664"/>
      <c r="G41" s="664"/>
      <c r="H41" s="664"/>
      <c r="I41" s="664"/>
      <c r="J41" s="664"/>
      <c r="K41" s="664"/>
      <c r="L41" s="664"/>
      <c r="M41" s="801"/>
      <c r="N41" s="801"/>
      <c r="O41" s="664"/>
      <c r="P41" s="664"/>
      <c r="Q41" s="664"/>
    </row>
    <row r="42" spans="1:17" s="671" customFormat="1" ht="31.5" customHeight="1">
      <c r="B42" s="699" t="s">
        <v>1078</v>
      </c>
      <c r="C42" s="2031" t="s">
        <v>1079</v>
      </c>
      <c r="D42" s="2031"/>
      <c r="E42" s="665"/>
      <c r="F42" s="702"/>
      <c r="G42" s="702"/>
      <c r="H42" s="702"/>
      <c r="I42" s="702"/>
      <c r="J42" s="702"/>
      <c r="K42" s="702"/>
      <c r="L42" s="702"/>
      <c r="M42" s="801"/>
      <c r="N42" s="801"/>
      <c r="O42" s="702"/>
      <c r="P42" s="702"/>
      <c r="Q42" s="702"/>
    </row>
    <row r="43" spans="1:17">
      <c r="A43" s="1273"/>
      <c r="B43" s="1273"/>
      <c r="C43" s="1273"/>
      <c r="D43" s="1273"/>
      <c r="E43" s="1273"/>
      <c r="F43" s="1273"/>
      <c r="G43" s="1273"/>
    </row>
    <row r="44" spans="1:17">
      <c r="A44" s="784"/>
      <c r="B44" s="784"/>
      <c r="C44" s="784"/>
      <c r="D44" s="784"/>
      <c r="E44" s="784"/>
      <c r="F44" s="784"/>
      <c r="G44" s="784"/>
    </row>
    <row r="45" spans="1:17">
      <c r="A45" s="784"/>
      <c r="B45" s="784"/>
      <c r="C45" s="784"/>
      <c r="D45" s="784"/>
      <c r="E45" s="784"/>
      <c r="F45" s="784"/>
      <c r="G45" s="784"/>
    </row>
    <row r="46" spans="1:17">
      <c r="A46" s="784"/>
      <c r="B46" s="784"/>
      <c r="C46" s="784"/>
      <c r="D46" s="784"/>
      <c r="E46" s="784"/>
      <c r="F46" s="784"/>
      <c r="G46" s="784"/>
    </row>
    <row r="47" spans="1:17">
      <c r="A47" s="784"/>
      <c r="B47" s="784"/>
      <c r="C47" s="784"/>
      <c r="D47" s="784"/>
      <c r="E47" s="784"/>
      <c r="F47" s="784"/>
      <c r="G47" s="784"/>
    </row>
    <row r="48" spans="1:17">
      <c r="A48" s="784"/>
      <c r="B48" s="784"/>
      <c r="C48" s="784"/>
      <c r="D48" s="784"/>
      <c r="E48" s="784"/>
      <c r="F48" s="784"/>
      <c r="G48" s="784"/>
    </row>
    <row r="49" spans="1:7">
      <c r="A49" s="784"/>
      <c r="B49" s="784"/>
      <c r="C49" s="784"/>
      <c r="D49" s="784"/>
      <c r="E49" s="784"/>
      <c r="F49" s="784"/>
      <c r="G49" s="784"/>
    </row>
  </sheetData>
  <mergeCells count="5">
    <mergeCell ref="A2:D2"/>
    <mergeCell ref="C40:D40"/>
    <mergeCell ref="C42:D42"/>
    <mergeCell ref="C39:D39"/>
    <mergeCell ref="C41:D41"/>
  </mergeCells>
  <phoneticPr fontId="116" type="noConversion"/>
  <pageMargins left="0.70866141732283472" right="0.70866141732283472" top="0.74803149606299213" bottom="0.74803149606299213" header="0.31496062992125984" footer="0.31496062992125984"/>
  <pageSetup paperSize="9" scale="96" orientation="portrait" horizontalDpi="180" verticalDpi="180" r:id="rId1"/>
</worksheet>
</file>

<file path=xl/worksheets/sheet79.xml><?xml version="1.0" encoding="utf-8"?>
<worksheet xmlns="http://schemas.openxmlformats.org/spreadsheetml/2006/main" xmlns:r="http://schemas.openxmlformats.org/officeDocument/2006/relationships">
  <sheetPr>
    <tabColor rgb="FF00FF00"/>
  </sheetPr>
  <dimension ref="A2:D43"/>
  <sheetViews>
    <sheetView view="pageBreakPreview" zoomScale="84" zoomScaleNormal="100" zoomScaleSheetLayoutView="84" workbookViewId="0">
      <selection activeCell="C9" sqref="C9"/>
    </sheetView>
  </sheetViews>
  <sheetFormatPr defaultRowHeight="15"/>
  <cols>
    <col min="1" max="1" width="26.7109375" style="1272" customWidth="1"/>
    <col min="2" max="2" width="23.7109375" style="1272" customWidth="1"/>
    <col min="3" max="3" width="26.85546875" style="1272" customWidth="1"/>
    <col min="4" max="4" width="16.85546875" style="1272" customWidth="1"/>
    <col min="5" max="16384" width="9.140625" style="1272"/>
  </cols>
  <sheetData>
    <row r="2" spans="1:4" ht="15.75">
      <c r="D2" s="785" t="s">
        <v>1001</v>
      </c>
    </row>
    <row r="3" spans="1:4" ht="44.25" customHeight="1">
      <c r="A3" s="2030" t="s">
        <v>750</v>
      </c>
      <c r="B3" s="2030"/>
      <c r="C3" s="2030"/>
      <c r="D3" s="2030"/>
    </row>
    <row r="4" spans="1:4">
      <c r="A4" s="784"/>
      <c r="B4" s="784"/>
      <c r="C4" s="784"/>
      <c r="D4" s="784"/>
    </row>
    <row r="5" spans="1:4" ht="31.5">
      <c r="A5" s="547"/>
      <c r="B5" s="318" t="s">
        <v>746</v>
      </c>
      <c r="C5" s="318" t="s">
        <v>726</v>
      </c>
      <c r="D5" s="335" t="s">
        <v>1000</v>
      </c>
    </row>
    <row r="6" spans="1:4" ht="31.5">
      <c r="A6" s="1274" t="s">
        <v>999</v>
      </c>
      <c r="B6" s="1256">
        <f>B7+B11+B25+B34</f>
        <v>78</v>
      </c>
      <c r="C6" s="1256">
        <f>C7+C11+C25+C34</f>
        <v>78</v>
      </c>
      <c r="D6" s="1256">
        <f>D7+D11+D25+D34</f>
        <v>78</v>
      </c>
    </row>
    <row r="7" spans="1:4" ht="36.75" customHeight="1">
      <c r="A7" s="1274" t="s">
        <v>1782</v>
      </c>
      <c r="B7" s="1256">
        <f>B8+B9+B10</f>
        <v>38</v>
      </c>
      <c r="C7" s="1256">
        <f>C8+C9+C10</f>
        <v>38</v>
      </c>
      <c r="D7" s="1256">
        <f>D8+D9+D10</f>
        <v>38</v>
      </c>
    </row>
    <row r="8" spans="1:4" ht="15.75" hidden="1">
      <c r="A8" s="796" t="s">
        <v>998</v>
      </c>
      <c r="B8" s="547"/>
      <c r="C8" s="547"/>
      <c r="D8" s="547">
        <f>ROUND((B8*8+C8*4)/12,0)</f>
        <v>0</v>
      </c>
    </row>
    <row r="9" spans="1:4" ht="16.5" customHeight="1">
      <c r="A9" s="796" t="s">
        <v>997</v>
      </c>
      <c r="B9" s="547">
        <v>8</v>
      </c>
      <c r="C9" s="547">
        <v>9</v>
      </c>
      <c r="D9" s="547">
        <f>ROUND((B9*8+C9*4)/12,0)</f>
        <v>8</v>
      </c>
    </row>
    <row r="10" spans="1:4" ht="18.75" customHeight="1">
      <c r="A10" s="796" t="s">
        <v>996</v>
      </c>
      <c r="B10" s="547">
        <v>30</v>
      </c>
      <c r="C10" s="547">
        <v>29</v>
      </c>
      <c r="D10" s="547">
        <f>ROUND((B10*8+C10*4)/12,0)</f>
        <v>30</v>
      </c>
    </row>
    <row r="11" spans="1:4" ht="31.5">
      <c r="A11" s="1274" t="s">
        <v>1783</v>
      </c>
      <c r="B11" s="1256">
        <f>B12+B15+B18</f>
        <v>37</v>
      </c>
      <c r="C11" s="1256">
        <f>C12+C15+C18</f>
        <v>37</v>
      </c>
      <c r="D11" s="1256">
        <f>D12+D15+D18</f>
        <v>37</v>
      </c>
    </row>
    <row r="12" spans="1:4" ht="31.5" hidden="1">
      <c r="A12" s="1275" t="s">
        <v>991</v>
      </c>
      <c r="B12" s="547"/>
      <c r="C12" s="547"/>
      <c r="D12" s="547">
        <f t="shared" ref="D12:D17" si="0">ROUND((B12*8+C12*4)/12,0)</f>
        <v>0</v>
      </c>
    </row>
    <row r="13" spans="1:4" ht="15.75" hidden="1">
      <c r="A13" s="796" t="s">
        <v>989</v>
      </c>
      <c r="B13" s="547"/>
      <c r="C13" s="547"/>
      <c r="D13" s="547">
        <f t="shared" si="0"/>
        <v>0</v>
      </c>
    </row>
    <row r="14" spans="1:4" ht="15.75" hidden="1">
      <c r="A14" s="796" t="s">
        <v>988</v>
      </c>
      <c r="B14" s="547"/>
      <c r="C14" s="547"/>
      <c r="D14" s="547">
        <f t="shared" si="0"/>
        <v>0</v>
      </c>
    </row>
    <row r="15" spans="1:4" ht="31.5">
      <c r="A15" s="1275" t="s">
        <v>994</v>
      </c>
      <c r="B15" s="547">
        <v>12</v>
      </c>
      <c r="C15" s="547">
        <v>12</v>
      </c>
      <c r="D15" s="547">
        <f>D16+D17</f>
        <v>12</v>
      </c>
    </row>
    <row r="16" spans="1:4" ht="15.75">
      <c r="A16" s="1278" t="s">
        <v>989</v>
      </c>
      <c r="B16" s="1279">
        <v>9</v>
      </c>
      <c r="C16" s="1279">
        <v>8</v>
      </c>
      <c r="D16" s="1279">
        <f t="shared" si="0"/>
        <v>9</v>
      </c>
    </row>
    <row r="17" spans="1:4" ht="15.75">
      <c r="A17" s="1278" t="s">
        <v>988</v>
      </c>
      <c r="B17" s="1279">
        <v>3</v>
      </c>
      <c r="C17" s="1279">
        <v>4</v>
      </c>
      <c r="D17" s="1279">
        <f t="shared" si="0"/>
        <v>3</v>
      </c>
    </row>
    <row r="18" spans="1:4" ht="31.5">
      <c r="A18" s="1275" t="s">
        <v>993</v>
      </c>
      <c r="B18" s="547">
        <v>25</v>
      </c>
      <c r="C18" s="547">
        <v>25</v>
      </c>
      <c r="D18" s="547">
        <f>D19+D20</f>
        <v>25</v>
      </c>
    </row>
    <row r="19" spans="1:4" ht="15.75">
      <c r="A19" s="1278" t="s">
        <v>989</v>
      </c>
      <c r="B19" s="1279">
        <v>13</v>
      </c>
      <c r="C19" s="1279">
        <v>14</v>
      </c>
      <c r="D19" s="1279">
        <f>ROUND((B19*8+C19*4)/12,0)</f>
        <v>13</v>
      </c>
    </row>
    <row r="20" spans="1:4" ht="15.75">
      <c r="A20" s="1278" t="s">
        <v>988</v>
      </c>
      <c r="B20" s="1279">
        <v>12</v>
      </c>
      <c r="C20" s="1279">
        <v>11</v>
      </c>
      <c r="D20" s="1279">
        <f>ROUND((B20*8+C20*4)/12,0)</f>
        <v>12</v>
      </c>
    </row>
    <row r="21" spans="1:4" ht="63" hidden="1">
      <c r="A21" s="548" t="s">
        <v>995</v>
      </c>
      <c r="B21" s="1256">
        <v>0</v>
      </c>
      <c r="C21" s="1256">
        <v>0</v>
      </c>
      <c r="D21" s="1256">
        <f>D22+D23+D24</f>
        <v>0</v>
      </c>
    </row>
    <row r="22" spans="1:4" ht="31.5" hidden="1">
      <c r="A22" s="1275" t="s">
        <v>991</v>
      </c>
      <c r="B22" s="547">
        <v>0</v>
      </c>
      <c r="C22" s="547">
        <v>0</v>
      </c>
      <c r="D22" s="547">
        <f>ROUND((B22*8+C22*4)/12,0)</f>
        <v>0</v>
      </c>
    </row>
    <row r="23" spans="1:4" ht="31.5" hidden="1">
      <c r="A23" s="1275" t="s">
        <v>994</v>
      </c>
      <c r="B23" s="547">
        <v>0</v>
      </c>
      <c r="C23" s="547">
        <v>0</v>
      </c>
      <c r="D23" s="547">
        <f>ROUND((B23*8+C23*4)/12,0)</f>
        <v>0</v>
      </c>
    </row>
    <row r="24" spans="1:4" ht="31.5" hidden="1">
      <c r="A24" s="1275" t="s">
        <v>993</v>
      </c>
      <c r="B24" s="547">
        <v>0</v>
      </c>
      <c r="C24" s="547">
        <v>0</v>
      </c>
      <c r="D24" s="547">
        <f>ROUND((B24*8+C24*4)/12,0)</f>
        <v>0</v>
      </c>
    </row>
    <row r="25" spans="1:4" ht="63" hidden="1">
      <c r="A25" s="1276" t="s">
        <v>992</v>
      </c>
      <c r="B25" s="1256">
        <v>0</v>
      </c>
      <c r="C25" s="1256">
        <v>0</v>
      </c>
      <c r="D25" s="1256">
        <f>D26+D29</f>
        <v>0</v>
      </c>
    </row>
    <row r="26" spans="1:4" ht="31.5" hidden="1">
      <c r="A26" s="1275" t="s">
        <v>991</v>
      </c>
      <c r="B26" s="547"/>
      <c r="C26" s="547"/>
      <c r="D26" s="547">
        <f t="shared" ref="D26:D33" si="1">ROUND((B26*8+C26*4)/12,0)</f>
        <v>0</v>
      </c>
    </row>
    <row r="27" spans="1:4" ht="15.75" hidden="1">
      <c r="A27" s="796" t="s">
        <v>989</v>
      </c>
      <c r="B27" s="547"/>
      <c r="C27" s="547"/>
      <c r="D27" s="547">
        <f t="shared" si="1"/>
        <v>0</v>
      </c>
    </row>
    <row r="28" spans="1:4" ht="15.75" hidden="1">
      <c r="A28" s="796" t="s">
        <v>988</v>
      </c>
      <c r="B28" s="547"/>
      <c r="C28" s="547"/>
      <c r="D28" s="547">
        <f t="shared" si="1"/>
        <v>0</v>
      </c>
    </row>
    <row r="29" spans="1:4" ht="31.5" hidden="1">
      <c r="A29" s="1277" t="s">
        <v>990</v>
      </c>
      <c r="B29" s="547"/>
      <c r="C29" s="547"/>
      <c r="D29" s="547">
        <f t="shared" si="1"/>
        <v>0</v>
      </c>
    </row>
    <row r="30" spans="1:4" ht="15.75" hidden="1">
      <c r="A30" s="796" t="s">
        <v>989</v>
      </c>
      <c r="B30" s="547"/>
      <c r="C30" s="547"/>
      <c r="D30" s="547">
        <f t="shared" si="1"/>
        <v>0</v>
      </c>
    </row>
    <row r="31" spans="1:4" ht="15.75" hidden="1">
      <c r="A31" s="796" t="s">
        <v>987</v>
      </c>
      <c r="B31" s="547"/>
      <c r="C31" s="547"/>
      <c r="D31" s="547">
        <f t="shared" si="1"/>
        <v>0</v>
      </c>
    </row>
    <row r="32" spans="1:4" ht="15.75" hidden="1">
      <c r="A32" s="796" t="s">
        <v>988</v>
      </c>
      <c r="B32" s="547"/>
      <c r="C32" s="547"/>
      <c r="D32" s="547">
        <f t="shared" si="1"/>
        <v>0</v>
      </c>
    </row>
    <row r="33" spans="1:4" ht="15.75" hidden="1">
      <c r="A33" s="796" t="s">
        <v>987</v>
      </c>
      <c r="B33" s="547"/>
      <c r="C33" s="547"/>
      <c r="D33" s="547">
        <f t="shared" si="1"/>
        <v>0</v>
      </c>
    </row>
    <row r="34" spans="1:4" ht="31.5">
      <c r="A34" s="1274" t="s">
        <v>986</v>
      </c>
      <c r="B34" s="1256">
        <f>B35+B36</f>
        <v>3</v>
      </c>
      <c r="C34" s="1256">
        <f>C35+C36</f>
        <v>3</v>
      </c>
      <c r="D34" s="1256">
        <f>D35+D36</f>
        <v>3</v>
      </c>
    </row>
    <row r="35" spans="1:4" ht="18" customHeight="1">
      <c r="A35" s="1275" t="s">
        <v>985</v>
      </c>
      <c r="B35" s="547">
        <v>0</v>
      </c>
      <c r="C35" s="547">
        <v>0</v>
      </c>
      <c r="D35" s="547">
        <f>ROUND((B35*8+C35*4)/12,0)</f>
        <v>0</v>
      </c>
    </row>
    <row r="36" spans="1:4" ht="20.25" customHeight="1">
      <c r="A36" s="1275" t="s">
        <v>984</v>
      </c>
      <c r="B36" s="547">
        <v>3</v>
      </c>
      <c r="C36" s="547">
        <v>3</v>
      </c>
      <c r="D36" s="547">
        <f>ROUND((B36*8+C36*4)/12,0)</f>
        <v>3</v>
      </c>
    </row>
    <row r="37" spans="1:4">
      <c r="A37" s="1273"/>
      <c r="B37" s="1273"/>
      <c r="C37" s="1273"/>
      <c r="D37" s="1273"/>
    </row>
    <row r="38" spans="1:4">
      <c r="A38" s="1273"/>
      <c r="B38" s="1273"/>
      <c r="C38" s="1273"/>
      <c r="D38" s="1273"/>
    </row>
    <row r="39" spans="1:4">
      <c r="A39" s="1273"/>
      <c r="B39" s="1273"/>
      <c r="C39" s="1273"/>
      <c r="D39" s="1273"/>
    </row>
    <row r="40" spans="1:4" ht="15.75">
      <c r="A40" s="669" t="s">
        <v>1077</v>
      </c>
      <c r="B40" s="787"/>
      <c r="C40" s="1825" t="s">
        <v>1040</v>
      </c>
      <c r="D40" s="1825"/>
    </row>
    <row r="41" spans="1:4" ht="15.75">
      <c r="A41" s="670"/>
      <c r="B41" s="699" t="s">
        <v>1078</v>
      </c>
      <c r="C41" s="2031" t="s">
        <v>1079</v>
      </c>
      <c r="D41" s="2031"/>
    </row>
    <row r="42" spans="1:4" ht="15.75">
      <c r="A42" s="669" t="s">
        <v>1076</v>
      </c>
      <c r="B42" s="787"/>
      <c r="C42" s="1826" t="s">
        <v>1784</v>
      </c>
      <c r="D42" s="1826"/>
    </row>
    <row r="43" spans="1:4" ht="15.75">
      <c r="A43" s="671"/>
      <c r="B43" s="699" t="s">
        <v>1078</v>
      </c>
      <c r="C43" s="2031" t="s">
        <v>1079</v>
      </c>
      <c r="D43" s="2031"/>
    </row>
  </sheetData>
  <mergeCells count="5">
    <mergeCell ref="C43:D43"/>
    <mergeCell ref="A3:D3"/>
    <mergeCell ref="C40:D40"/>
    <mergeCell ref="C41:D41"/>
    <mergeCell ref="C42:D42"/>
  </mergeCells>
  <phoneticPr fontId="116" type="noConversion"/>
  <pageMargins left="0.7" right="0.7" top="0.75" bottom="0.75" header="0.3" footer="0.3"/>
  <pageSetup paperSize="9" scale="84" orientation="portrait" r:id="rId1"/>
</worksheet>
</file>

<file path=xl/worksheets/sheet8.xml><?xml version="1.0" encoding="utf-8"?>
<worksheet xmlns="http://schemas.openxmlformats.org/spreadsheetml/2006/main" xmlns:r="http://schemas.openxmlformats.org/officeDocument/2006/relationships">
  <sheetPr codeName="Лист1">
    <tabColor theme="0" tint="-0.499984740745262"/>
    <pageSetUpPr fitToPage="1"/>
  </sheetPr>
  <dimension ref="A1:I27"/>
  <sheetViews>
    <sheetView view="pageBreakPreview" topLeftCell="B4" zoomScaleNormal="100" zoomScaleSheetLayoutView="100" workbookViewId="0">
      <selection activeCell="E26" sqref="E26"/>
    </sheetView>
  </sheetViews>
  <sheetFormatPr defaultRowHeight="15"/>
  <cols>
    <col min="1" max="1" width="4.5703125" style="1" customWidth="1"/>
    <col min="2" max="2" width="45" style="1" customWidth="1"/>
    <col min="3" max="3" width="8.7109375" style="1" customWidth="1"/>
    <col min="4" max="4" width="7.85546875" style="1" customWidth="1"/>
    <col min="5" max="5" width="14.140625" style="1" customWidth="1"/>
    <col min="6" max="6" width="13.28515625" style="1" customWidth="1"/>
    <col min="7" max="7" width="17.5703125" style="1" customWidth="1"/>
    <col min="8" max="8" width="9.42578125" style="1" customWidth="1"/>
    <col min="9" max="16384" width="9.140625" style="1"/>
  </cols>
  <sheetData>
    <row r="1" spans="1:9" ht="172.5" customHeight="1">
      <c r="E1" s="1505" t="s">
        <v>1011</v>
      </c>
      <c r="F1" s="1505"/>
      <c r="G1" s="1505"/>
      <c r="H1" s="116"/>
      <c r="I1" s="116"/>
    </row>
    <row r="2" spans="1:9">
      <c r="G2" s="32"/>
    </row>
    <row r="3" spans="1:9" ht="36.75" customHeight="1">
      <c r="A3" s="1502" t="s">
        <v>1252</v>
      </c>
      <c r="B3" s="1502"/>
      <c r="C3" s="1502"/>
      <c r="D3" s="1502"/>
      <c r="E3" s="1502"/>
      <c r="F3" s="1502"/>
      <c r="G3" s="1502"/>
    </row>
    <row r="5" spans="1:9" ht="15.75">
      <c r="G5" s="209" t="s">
        <v>701</v>
      </c>
    </row>
    <row r="7" spans="1:9" ht="42.75" customHeight="1">
      <c r="A7" s="1503" t="s">
        <v>1144</v>
      </c>
      <c r="B7" s="1503"/>
      <c r="C7" s="1503"/>
      <c r="D7" s="1503"/>
      <c r="E7" s="1503"/>
      <c r="F7" s="1503"/>
      <c r="G7" s="1503"/>
    </row>
    <row r="8" spans="1:9" ht="15.75">
      <c r="A8" s="234"/>
      <c r="B8" s="234"/>
      <c r="C8" s="234"/>
      <c r="D8" s="234"/>
      <c r="E8" s="234"/>
      <c r="F8" s="234"/>
      <c r="G8" s="234"/>
    </row>
    <row r="9" spans="1:9" ht="47.25">
      <c r="A9" s="334" t="s">
        <v>1255</v>
      </c>
      <c r="B9" s="334" t="s">
        <v>1256</v>
      </c>
      <c r="C9" s="334" t="s">
        <v>1264</v>
      </c>
      <c r="D9" s="334" t="s">
        <v>1257</v>
      </c>
      <c r="E9" s="334" t="s">
        <v>1258</v>
      </c>
      <c r="F9" s="334" t="s">
        <v>1259</v>
      </c>
      <c r="G9" s="334" t="s">
        <v>1260</v>
      </c>
      <c r="H9" s="2"/>
      <c r="I9" s="3"/>
    </row>
    <row r="10" spans="1:9" ht="15.75">
      <c r="A10" s="334">
        <v>1</v>
      </c>
      <c r="B10" s="334">
        <v>2</v>
      </c>
      <c r="C10" s="334">
        <v>3</v>
      </c>
      <c r="D10" s="334">
        <v>4</v>
      </c>
      <c r="E10" s="334">
        <v>5</v>
      </c>
      <c r="F10" s="334">
        <v>6</v>
      </c>
      <c r="G10" s="334">
        <v>7</v>
      </c>
      <c r="H10" s="2"/>
      <c r="I10" s="3"/>
    </row>
    <row r="11" spans="1:9" ht="15.75" hidden="1">
      <c r="A11" s="230">
        <v>1</v>
      </c>
      <c r="B11" s="231" t="s">
        <v>1265</v>
      </c>
      <c r="C11" s="229">
        <v>120</v>
      </c>
      <c r="D11" s="230"/>
      <c r="E11" s="230"/>
      <c r="F11" s="232"/>
      <c r="G11" s="232"/>
      <c r="H11" s="3"/>
      <c r="I11" s="3"/>
    </row>
    <row r="12" spans="1:9" ht="15.75" hidden="1">
      <c r="A12" s="230">
        <v>2</v>
      </c>
      <c r="B12" s="231" t="s">
        <v>1261</v>
      </c>
      <c r="C12" s="229">
        <v>130</v>
      </c>
      <c r="D12" s="230"/>
      <c r="E12" s="230"/>
      <c r="F12" s="232"/>
      <c r="G12" s="232"/>
      <c r="H12" s="3"/>
      <c r="I12" s="3"/>
    </row>
    <row r="13" spans="1:9" ht="15.75" hidden="1">
      <c r="A13" s="230"/>
      <c r="B13" s="231" t="s">
        <v>185</v>
      </c>
      <c r="C13" s="229"/>
      <c r="D13" s="230"/>
      <c r="E13" s="230"/>
      <c r="F13" s="232"/>
      <c r="G13" s="232"/>
      <c r="H13" s="3"/>
      <c r="I13" s="3"/>
    </row>
    <row r="14" spans="1:9" ht="15.75" hidden="1">
      <c r="A14" s="230"/>
      <c r="B14" s="231"/>
      <c r="C14" s="229">
        <v>130</v>
      </c>
      <c r="D14" s="230"/>
      <c r="E14" s="230"/>
      <c r="F14" s="232"/>
      <c r="G14" s="232"/>
      <c r="H14" s="3"/>
      <c r="I14" s="3"/>
    </row>
    <row r="15" spans="1:9" ht="15.75" hidden="1">
      <c r="A15" s="230">
        <v>3</v>
      </c>
      <c r="B15" s="231" t="s">
        <v>1262</v>
      </c>
      <c r="C15" s="229">
        <v>140</v>
      </c>
      <c r="D15" s="230"/>
      <c r="E15" s="230"/>
      <c r="F15" s="232"/>
      <c r="G15" s="232"/>
      <c r="H15" s="3"/>
      <c r="I15" s="3"/>
    </row>
    <row r="16" spans="1:9" ht="15.75" hidden="1">
      <c r="A16" s="230">
        <v>4</v>
      </c>
      <c r="B16" s="231" t="s">
        <v>1263</v>
      </c>
      <c r="C16" s="229">
        <v>180</v>
      </c>
      <c r="D16" s="230" t="s">
        <v>1276</v>
      </c>
      <c r="E16" s="230"/>
      <c r="F16" s="232"/>
      <c r="G16" s="232"/>
      <c r="H16" s="3"/>
      <c r="I16" s="3"/>
    </row>
    <row r="17" spans="1:9" ht="15.75" hidden="1">
      <c r="A17" s="230"/>
      <c r="B17" s="231" t="s">
        <v>185</v>
      </c>
      <c r="C17" s="229"/>
      <c r="D17" s="230"/>
      <c r="E17" s="230"/>
      <c r="F17" s="232"/>
      <c r="G17" s="232"/>
      <c r="H17" s="3"/>
      <c r="I17" s="3"/>
    </row>
    <row r="18" spans="1:9" ht="15.75" hidden="1">
      <c r="A18" s="230"/>
      <c r="B18" s="231"/>
      <c r="C18" s="229">
        <v>180</v>
      </c>
      <c r="D18" s="230"/>
      <c r="E18" s="230"/>
      <c r="F18" s="232"/>
      <c r="G18" s="232"/>
      <c r="H18" s="3"/>
      <c r="I18" s="3"/>
    </row>
    <row r="19" spans="1:9" ht="31.5">
      <c r="A19" s="230">
        <v>5</v>
      </c>
      <c r="B19" s="231" t="s">
        <v>1266</v>
      </c>
      <c r="C19" s="229">
        <v>440</v>
      </c>
      <c r="D19" s="230"/>
      <c r="E19" s="230"/>
      <c r="F19" s="232"/>
      <c r="G19" s="232">
        <f>G21</f>
        <v>41.4</v>
      </c>
      <c r="H19" s="3"/>
      <c r="I19" s="3"/>
    </row>
    <row r="20" spans="1:9" ht="15.75">
      <c r="A20" s="233"/>
      <c r="B20" s="231" t="s">
        <v>185</v>
      </c>
      <c r="C20" s="233"/>
      <c r="D20" s="233"/>
      <c r="E20" s="233"/>
      <c r="F20" s="233"/>
      <c r="G20" s="233"/>
    </row>
    <row r="21" spans="1:9" ht="15.75">
      <c r="A21" s="233"/>
      <c r="B21" s="233" t="s">
        <v>1145</v>
      </c>
      <c r="C21" s="229">
        <v>440</v>
      </c>
      <c r="D21" s="230" t="s">
        <v>1146</v>
      </c>
      <c r="E21" s="233">
        <v>2.07E-2</v>
      </c>
      <c r="F21" s="233">
        <v>2000</v>
      </c>
      <c r="G21" s="618">
        <f>E21*F21</f>
        <v>41.4</v>
      </c>
    </row>
    <row r="23" spans="1:9">
      <c r="A23" s="1" t="s">
        <v>1077</v>
      </c>
      <c r="C23" s="1504"/>
      <c r="D23" s="1504"/>
      <c r="F23" s="1504" t="s">
        <v>1040</v>
      </c>
      <c r="G23" s="1504"/>
    </row>
    <row r="24" spans="1:9">
      <c r="C24" s="1501" t="s">
        <v>1078</v>
      </c>
      <c r="D24" s="1501"/>
      <c r="F24" s="1501" t="s">
        <v>1079</v>
      </c>
      <c r="G24" s="1501"/>
    </row>
    <row r="26" spans="1:9" ht="15.75" customHeight="1">
      <c r="A26" s="1466" t="s">
        <v>1076</v>
      </c>
      <c r="B26" s="1466"/>
      <c r="C26" s="1506"/>
      <c r="D26" s="1506"/>
      <c r="F26" s="1504" t="s">
        <v>1245</v>
      </c>
      <c r="G26" s="1504"/>
    </row>
    <row r="27" spans="1:9" ht="15.75">
      <c r="A27" s="505"/>
      <c r="B27" s="505"/>
      <c r="C27" s="1501" t="s">
        <v>1078</v>
      </c>
      <c r="D27" s="1501"/>
      <c r="F27" s="1501" t="s">
        <v>1079</v>
      </c>
      <c r="G27" s="1501"/>
    </row>
  </sheetData>
  <customSheetViews>
    <customSheetView guid="{CA0FB9E2-E541-4C74-BCFE-D75491869B36}" showPageBreaks="1" fitToPage="1" printArea="1" view="pageBreakPreview" topLeftCell="A4">
      <selection activeCell="A26" sqref="A26:B26"/>
      <pageMargins left="0.70866141732283472" right="0.70866141732283472" top="0.74803149606299213" bottom="0.74803149606299213" header="0.31496062992125984" footer="0.31496062992125984"/>
      <pageSetup paperSize="9" scale="78" orientation="portrait" horizontalDpi="180" verticalDpi="180" r:id="rId1"/>
    </customSheetView>
    <customSheetView guid="{F10E3D8B-5892-420A-B023-68C6496D556B}" showPageBreaks="1" fitToPage="1" printArea="1" hiddenColumns="1">
      <selection activeCell="B25" sqref="B25"/>
      <pageMargins left="0.70866141732283472" right="0.70866141732283472" top="0.74803149606299213" bottom="0.74803149606299213" header="0.31496062992125984" footer="0.31496062992125984"/>
      <pageSetup paperSize="9" scale="77" orientation="portrait" horizontalDpi="180" verticalDpi="180" r:id="rId2"/>
    </customSheetView>
    <customSheetView guid="{FE7E58EF-FECC-4DF6-BB75-BA97138CB219}" showPageBreaks="1" fitToPage="1" printArea="1" hiddenColumns="1">
      <selection activeCell="B25" sqref="B25"/>
      <pageMargins left="0.70866141732283472" right="0.70866141732283472" top="0.74803149606299213" bottom="0.74803149606299213" header="0.31496062992125984" footer="0.31496062992125984"/>
      <pageSetup paperSize="9" scale="78" orientation="portrait" horizontalDpi="180" verticalDpi="180" r:id="rId3"/>
    </customSheetView>
    <customSheetView guid="{43136B00-66C6-4289-99D3-5EF20611F834}" showPageBreaks="1" fitToPage="1" printArea="1" topLeftCell="A4">
      <selection activeCell="G5" sqref="G5"/>
      <pageMargins left="0.70866141732283472" right="0.70866141732283472" top="0.74803149606299213" bottom="0.74803149606299213" header="0.31496062992125984" footer="0.31496062992125984"/>
      <pageSetup paperSize="9" scale="78" orientation="portrait" horizontalDpi="180" verticalDpi="180" r:id="rId4"/>
    </customSheetView>
    <customSheetView guid="{22820B9F-10DE-4629-AF3D-4AF98A9BCEDB}" showPageBreaks="1" fitToPage="1" printArea="1" view="pageBreakPreview" topLeftCell="A7">
      <selection activeCell="C24" sqref="C24:D24"/>
      <pageMargins left="0.70866141732283472" right="0.70866141732283472" top="0.74803149606299213" bottom="0.74803149606299213" header="0.31496062992125984" footer="0.31496062992125984"/>
      <pageSetup paperSize="9" scale="78" orientation="portrait" horizontalDpi="180" verticalDpi="180" r:id="rId5"/>
    </customSheetView>
  </customSheetViews>
  <mergeCells count="12">
    <mergeCell ref="E1:G1"/>
    <mergeCell ref="A26:B26"/>
    <mergeCell ref="C26:D26"/>
    <mergeCell ref="F26:G26"/>
    <mergeCell ref="C27:D27"/>
    <mergeCell ref="A3:G3"/>
    <mergeCell ref="A7:G7"/>
    <mergeCell ref="F27:G27"/>
    <mergeCell ref="C23:D23"/>
    <mergeCell ref="F23:G23"/>
    <mergeCell ref="C24:D24"/>
    <mergeCell ref="F24:G24"/>
  </mergeCells>
  <phoneticPr fontId="116" type="noConversion"/>
  <pageMargins left="0.70866141732283472" right="0.70866141732283472" top="0.74803149606299213" bottom="0.74803149606299213" header="0.31496062992125984" footer="0.31496062992125984"/>
  <pageSetup paperSize="9" scale="79" orientation="portrait" horizontalDpi="180" verticalDpi="180" r:id="rId6"/>
</worksheet>
</file>

<file path=xl/worksheets/sheet80.xml><?xml version="1.0" encoding="utf-8"?>
<worksheet xmlns="http://schemas.openxmlformats.org/spreadsheetml/2006/main" xmlns:r="http://schemas.openxmlformats.org/officeDocument/2006/relationships">
  <sheetPr>
    <tabColor rgb="FF00FF00"/>
  </sheetPr>
  <dimension ref="A1:D42"/>
  <sheetViews>
    <sheetView view="pageBreakPreview" topLeftCell="A33" zoomScale="87" zoomScaleNormal="100" zoomScaleSheetLayoutView="87" workbookViewId="0">
      <selection activeCell="D33" sqref="D33"/>
    </sheetView>
  </sheetViews>
  <sheetFormatPr defaultRowHeight="15"/>
  <cols>
    <col min="1" max="1" width="24.5703125" style="1272" customWidth="1"/>
    <col min="2" max="2" width="18.28515625" style="1272" customWidth="1"/>
    <col min="3" max="3" width="19.140625" style="1272" customWidth="1"/>
    <col min="4" max="4" width="32.140625" style="1272" customWidth="1"/>
    <col min="5" max="16384" width="9.140625" style="1272"/>
  </cols>
  <sheetData>
    <row r="1" spans="1:4" ht="15.75">
      <c r="D1" s="785" t="s">
        <v>1001</v>
      </c>
    </row>
    <row r="2" spans="1:4" ht="42.75" customHeight="1">
      <c r="A2" s="2030" t="s">
        <v>751</v>
      </c>
      <c r="B2" s="2030"/>
      <c r="C2" s="2030"/>
      <c r="D2" s="2030"/>
    </row>
    <row r="3" spans="1:4">
      <c r="A3" s="784"/>
      <c r="B3" s="784"/>
      <c r="C3" s="784"/>
      <c r="D3" s="784"/>
    </row>
    <row r="4" spans="1:4" ht="15.75">
      <c r="A4" s="547"/>
      <c r="B4" s="318" t="s">
        <v>747</v>
      </c>
      <c r="C4" s="318" t="s">
        <v>748</v>
      </c>
      <c r="D4" s="335" t="s">
        <v>1000</v>
      </c>
    </row>
    <row r="5" spans="1:4" ht="31.5">
      <c r="A5" s="1274" t="s">
        <v>999</v>
      </c>
      <c r="B5" s="1256">
        <f>B6+B10+B24+B33</f>
        <v>78</v>
      </c>
      <c r="C5" s="1256">
        <f>C6+C10+C24+C33</f>
        <v>78</v>
      </c>
      <c r="D5" s="1256">
        <f>D6+D10+D24+D33</f>
        <v>78</v>
      </c>
    </row>
    <row r="6" spans="1:4" ht="30" customHeight="1">
      <c r="A6" s="1274" t="s">
        <v>1782</v>
      </c>
      <c r="B6" s="1256">
        <f>B7+B8+B9</f>
        <v>38</v>
      </c>
      <c r="C6" s="1256">
        <f>C7+C8+C9</f>
        <v>38</v>
      </c>
      <c r="D6" s="1256">
        <f>D7+D8+D9</f>
        <v>38</v>
      </c>
    </row>
    <row r="7" spans="1:4" ht="18.75" hidden="1" customHeight="1">
      <c r="A7" s="796" t="s">
        <v>998</v>
      </c>
      <c r="B7" s="547"/>
      <c r="C7" s="547"/>
      <c r="D7" s="547">
        <f>ROUND((B7*8+C7*4)/12,0)</f>
        <v>0</v>
      </c>
    </row>
    <row r="8" spans="1:4" ht="22.5" customHeight="1">
      <c r="A8" s="796" t="s">
        <v>997</v>
      </c>
      <c r="B8" s="547">
        <v>9</v>
      </c>
      <c r="C8" s="547">
        <v>10</v>
      </c>
      <c r="D8" s="547">
        <f>ROUND((B8*8+C8*4)/12,0)</f>
        <v>9</v>
      </c>
    </row>
    <row r="9" spans="1:4" ht="18.75" customHeight="1">
      <c r="A9" s="796" t="s">
        <v>996</v>
      </c>
      <c r="B9" s="547">
        <v>29</v>
      </c>
      <c r="C9" s="547">
        <v>28</v>
      </c>
      <c r="D9" s="547">
        <f>ROUND((B9*8+C9*4)/12,0)</f>
        <v>29</v>
      </c>
    </row>
    <row r="10" spans="1:4" ht="31.5">
      <c r="A10" s="1274" t="s">
        <v>1783</v>
      </c>
      <c r="B10" s="1256">
        <v>37</v>
      </c>
      <c r="C10" s="1256">
        <v>37</v>
      </c>
      <c r="D10" s="1256">
        <f>D11+D14+D17</f>
        <v>37</v>
      </c>
    </row>
    <row r="11" spans="1:4" ht="31.5" hidden="1">
      <c r="A11" s="1275" t="s">
        <v>991</v>
      </c>
      <c r="B11" s="547"/>
      <c r="C11" s="547"/>
      <c r="D11" s="547">
        <f t="shared" ref="D11:D16" si="0">ROUND((B11*8+C11*4)/12,0)</f>
        <v>0</v>
      </c>
    </row>
    <row r="12" spans="1:4" ht="15.75" hidden="1">
      <c r="A12" s="796" t="s">
        <v>989</v>
      </c>
      <c r="B12" s="547"/>
      <c r="C12" s="547"/>
      <c r="D12" s="547">
        <f t="shared" si="0"/>
        <v>0</v>
      </c>
    </row>
    <row r="13" spans="1:4" ht="15.75" hidden="1">
      <c r="A13" s="796" t="s">
        <v>988</v>
      </c>
      <c r="B13" s="547"/>
      <c r="C13" s="547"/>
      <c r="D13" s="547">
        <f t="shared" si="0"/>
        <v>0</v>
      </c>
    </row>
    <row r="14" spans="1:4" ht="31.5">
      <c r="A14" s="1275" t="s">
        <v>994</v>
      </c>
      <c r="B14" s="547">
        <v>12</v>
      </c>
      <c r="C14" s="547">
        <v>12</v>
      </c>
      <c r="D14" s="547">
        <f>D15+D16</f>
        <v>12</v>
      </c>
    </row>
    <row r="15" spans="1:4" s="1280" customFormat="1" ht="15.75">
      <c r="A15" s="1278" t="s">
        <v>989</v>
      </c>
      <c r="B15" s="1279">
        <v>8</v>
      </c>
      <c r="C15" s="1279">
        <v>7</v>
      </c>
      <c r="D15" s="1279">
        <f t="shared" si="0"/>
        <v>8</v>
      </c>
    </row>
    <row r="16" spans="1:4" s="1280" customFormat="1" ht="15.75">
      <c r="A16" s="1278" t="s">
        <v>988</v>
      </c>
      <c r="B16" s="1279">
        <v>4</v>
      </c>
      <c r="C16" s="1279">
        <v>5</v>
      </c>
      <c r="D16" s="1279">
        <f t="shared" si="0"/>
        <v>4</v>
      </c>
    </row>
    <row r="17" spans="1:4" ht="31.5">
      <c r="A17" s="1275" t="s">
        <v>993</v>
      </c>
      <c r="B17" s="547">
        <v>25</v>
      </c>
      <c r="C17" s="547">
        <v>25</v>
      </c>
      <c r="D17" s="547">
        <f>D18+D19</f>
        <v>25</v>
      </c>
    </row>
    <row r="18" spans="1:4" s="1280" customFormat="1" ht="15.75">
      <c r="A18" s="1278" t="s">
        <v>989</v>
      </c>
      <c r="B18" s="1279">
        <v>14</v>
      </c>
      <c r="C18" s="1279">
        <v>12</v>
      </c>
      <c r="D18" s="1279">
        <f>ROUND((B18*8+C18*4)/12,0)</f>
        <v>13</v>
      </c>
    </row>
    <row r="19" spans="1:4" s="1280" customFormat="1" ht="15.75">
      <c r="A19" s="1278" t="s">
        <v>988</v>
      </c>
      <c r="B19" s="1279">
        <v>11</v>
      </c>
      <c r="C19" s="1279">
        <v>13</v>
      </c>
      <c r="D19" s="1279">
        <f>ROUND((B19*8+C19*4)/12,0)</f>
        <v>12</v>
      </c>
    </row>
    <row r="20" spans="1:4" ht="94.5" hidden="1">
      <c r="A20" s="548" t="s">
        <v>995</v>
      </c>
      <c r="B20" s="1256">
        <v>0</v>
      </c>
      <c r="C20" s="1256">
        <v>0</v>
      </c>
      <c r="D20" s="1256">
        <f>D21+D22+D23</f>
        <v>0</v>
      </c>
    </row>
    <row r="21" spans="1:4" ht="31.5" hidden="1">
      <c r="A21" s="1275" t="s">
        <v>991</v>
      </c>
      <c r="B21" s="547">
        <v>0</v>
      </c>
      <c r="C21" s="547">
        <v>0</v>
      </c>
      <c r="D21" s="547">
        <f>ROUND((B21*8+C21*4)/12,0)</f>
        <v>0</v>
      </c>
    </row>
    <row r="22" spans="1:4" ht="31.5" hidden="1">
      <c r="A22" s="1275" t="s">
        <v>994</v>
      </c>
      <c r="B22" s="547">
        <v>0</v>
      </c>
      <c r="C22" s="547">
        <v>0</v>
      </c>
      <c r="D22" s="547">
        <f>ROUND((B22*8+C22*4)/12,0)</f>
        <v>0</v>
      </c>
    </row>
    <row r="23" spans="1:4" ht="31.5" hidden="1">
      <c r="A23" s="1275" t="s">
        <v>993</v>
      </c>
      <c r="B23" s="547">
        <v>0</v>
      </c>
      <c r="C23" s="547">
        <v>0</v>
      </c>
      <c r="D23" s="547">
        <f>ROUND((B23*8+C23*4)/12,0)</f>
        <v>0</v>
      </c>
    </row>
    <row r="24" spans="1:4" ht="63" hidden="1">
      <c r="A24" s="1276" t="s">
        <v>992</v>
      </c>
      <c r="B24" s="1256">
        <v>0</v>
      </c>
      <c r="C24" s="1256">
        <v>0</v>
      </c>
      <c r="D24" s="1256">
        <f>D25+D28</f>
        <v>0</v>
      </c>
    </row>
    <row r="25" spans="1:4" ht="31.5" hidden="1">
      <c r="A25" s="1275" t="s">
        <v>991</v>
      </c>
      <c r="B25" s="547"/>
      <c r="C25" s="547"/>
      <c r="D25" s="547">
        <f t="shared" ref="D25:D32" si="1">ROUND((B25*8+C25*4)/12,0)</f>
        <v>0</v>
      </c>
    </row>
    <row r="26" spans="1:4" ht="15.75" hidden="1">
      <c r="A26" s="796" t="s">
        <v>989</v>
      </c>
      <c r="B26" s="547"/>
      <c r="C26" s="547"/>
      <c r="D26" s="547">
        <f t="shared" si="1"/>
        <v>0</v>
      </c>
    </row>
    <row r="27" spans="1:4" ht="15.75" hidden="1">
      <c r="A27" s="796" t="s">
        <v>988</v>
      </c>
      <c r="B27" s="547"/>
      <c r="C27" s="547"/>
      <c r="D27" s="547">
        <f t="shared" si="1"/>
        <v>0</v>
      </c>
    </row>
    <row r="28" spans="1:4" ht="31.5" hidden="1">
      <c r="A28" s="1277" t="s">
        <v>990</v>
      </c>
      <c r="B28" s="547"/>
      <c r="C28" s="547"/>
      <c r="D28" s="547">
        <f t="shared" si="1"/>
        <v>0</v>
      </c>
    </row>
    <row r="29" spans="1:4" ht="15.75" hidden="1">
      <c r="A29" s="796" t="s">
        <v>989</v>
      </c>
      <c r="B29" s="547"/>
      <c r="C29" s="547"/>
      <c r="D29" s="547">
        <f t="shared" si="1"/>
        <v>0</v>
      </c>
    </row>
    <row r="30" spans="1:4" ht="15.75" hidden="1">
      <c r="A30" s="796" t="s">
        <v>987</v>
      </c>
      <c r="B30" s="547"/>
      <c r="C30" s="547"/>
      <c r="D30" s="547">
        <f t="shared" si="1"/>
        <v>0</v>
      </c>
    </row>
    <row r="31" spans="1:4" ht="15.75" hidden="1">
      <c r="A31" s="796" t="s">
        <v>988</v>
      </c>
      <c r="B31" s="547"/>
      <c r="C31" s="547"/>
      <c r="D31" s="547">
        <f t="shared" si="1"/>
        <v>0</v>
      </c>
    </row>
    <row r="32" spans="1:4" ht="15.75" hidden="1">
      <c r="A32" s="796" t="s">
        <v>987</v>
      </c>
      <c r="B32" s="547"/>
      <c r="C32" s="547"/>
      <c r="D32" s="547">
        <f t="shared" si="1"/>
        <v>0</v>
      </c>
    </row>
    <row r="33" spans="1:4" ht="31.5">
      <c r="A33" s="1274" t="s">
        <v>986</v>
      </c>
      <c r="B33" s="1256">
        <f>B34+B35</f>
        <v>3</v>
      </c>
      <c r="C33" s="1256">
        <f>C34+C35</f>
        <v>3</v>
      </c>
      <c r="D33" s="1256">
        <f>D34+D35</f>
        <v>3</v>
      </c>
    </row>
    <row r="34" spans="1:4" ht="15.75">
      <c r="A34" s="1275" t="s">
        <v>985</v>
      </c>
      <c r="B34" s="547">
        <v>0</v>
      </c>
      <c r="C34" s="547">
        <v>0</v>
      </c>
      <c r="D34" s="547">
        <f>ROUND((B34*8+C34*4)/12,0)</f>
        <v>0</v>
      </c>
    </row>
    <row r="35" spans="1:4" ht="31.5">
      <c r="A35" s="1275" t="s">
        <v>984</v>
      </c>
      <c r="B35" s="547">
        <v>3</v>
      </c>
      <c r="C35" s="547">
        <v>3</v>
      </c>
      <c r="D35" s="547">
        <f>ROUND((B35*8+C35*4)/12,0)</f>
        <v>3</v>
      </c>
    </row>
    <row r="36" spans="1:4">
      <c r="A36" s="1273"/>
      <c r="B36" s="1273"/>
      <c r="C36" s="1273"/>
      <c r="D36" s="1273"/>
    </row>
    <row r="37" spans="1:4">
      <c r="A37" s="1273"/>
      <c r="B37" s="1273"/>
      <c r="C37" s="1273"/>
      <c r="D37" s="1273"/>
    </row>
    <row r="38" spans="1:4">
      <c r="A38" s="1273"/>
      <c r="B38" s="1273"/>
      <c r="C38" s="1273"/>
      <c r="D38" s="1273"/>
    </row>
    <row r="39" spans="1:4" ht="15.75">
      <c r="A39" s="669" t="s">
        <v>1077</v>
      </c>
      <c r="B39" s="787"/>
      <c r="C39" s="1825" t="s">
        <v>1040</v>
      </c>
      <c r="D39" s="1825"/>
    </row>
    <row r="40" spans="1:4" ht="15.75">
      <c r="A40" s="670"/>
      <c r="B40" s="699" t="s">
        <v>1078</v>
      </c>
      <c r="C40" s="2031" t="s">
        <v>1079</v>
      </c>
      <c r="D40" s="2031"/>
    </row>
    <row r="41" spans="1:4" ht="15.75">
      <c r="A41" s="669" t="s">
        <v>1076</v>
      </c>
      <c r="B41" s="787"/>
      <c r="C41" s="1826" t="s">
        <v>1784</v>
      </c>
      <c r="D41" s="1826"/>
    </row>
    <row r="42" spans="1:4" ht="15.75">
      <c r="A42" s="671"/>
      <c r="B42" s="699" t="s">
        <v>1078</v>
      </c>
      <c r="C42" s="2031" t="s">
        <v>1079</v>
      </c>
      <c r="D42" s="2031"/>
    </row>
  </sheetData>
  <mergeCells count="5">
    <mergeCell ref="C42:D42"/>
    <mergeCell ref="A2:D2"/>
    <mergeCell ref="C39:D39"/>
    <mergeCell ref="C40:D40"/>
    <mergeCell ref="C41:D41"/>
  </mergeCells>
  <phoneticPr fontId="116" type="noConversion"/>
  <pageMargins left="0.7" right="0.7" top="0.75" bottom="0.75" header="0.3" footer="0.3"/>
  <pageSetup paperSize="9" scale="92" orientation="portrait" r:id="rId1"/>
</worksheet>
</file>

<file path=xl/worksheets/sheet81.xml><?xml version="1.0" encoding="utf-8"?>
<worksheet xmlns="http://schemas.openxmlformats.org/spreadsheetml/2006/main" xmlns:r="http://schemas.openxmlformats.org/officeDocument/2006/relationships">
  <sheetPr codeName="Лист47">
    <tabColor rgb="FFFF0000"/>
    <pageSetUpPr fitToPage="1"/>
  </sheetPr>
  <dimension ref="A1:Q17"/>
  <sheetViews>
    <sheetView topLeftCell="A16" workbookViewId="0">
      <selection activeCell="C10" sqref="C10"/>
    </sheetView>
  </sheetViews>
  <sheetFormatPr defaultRowHeight="15"/>
  <cols>
    <col min="1" max="1" width="5.42578125" style="1" customWidth="1"/>
    <col min="2" max="2" width="52.7109375" style="1" customWidth="1"/>
    <col min="3" max="3" width="17.140625" style="1" customWidth="1"/>
    <col min="4" max="4" width="16.42578125" style="1" customWidth="1"/>
    <col min="5" max="5" width="13.85546875" style="1" customWidth="1"/>
    <col min="6" max="16384" width="9.140625" style="1"/>
  </cols>
  <sheetData>
    <row r="1" spans="1:17" ht="15.75">
      <c r="A1" s="234"/>
      <c r="B1" s="234"/>
      <c r="C1" s="234"/>
      <c r="D1" s="234"/>
      <c r="E1" s="209" t="s">
        <v>1798</v>
      </c>
    </row>
    <row r="2" spans="1:17" ht="15.75">
      <c r="A2" s="234"/>
      <c r="B2" s="234"/>
      <c r="C2" s="234"/>
      <c r="D2" s="234"/>
      <c r="E2" s="209"/>
    </row>
    <row r="3" spans="1:17" ht="15.75">
      <c r="A3" s="2001" t="s">
        <v>1736</v>
      </c>
      <c r="B3" s="2001"/>
      <c r="C3" s="2001"/>
      <c r="D3" s="2001"/>
      <c r="E3" s="2001"/>
      <c r="F3" s="9"/>
    </row>
    <row r="4" spans="1:17" ht="15.75">
      <c r="A4" s="234"/>
      <c r="B4" s="234"/>
      <c r="C4" s="234"/>
      <c r="D4" s="234"/>
      <c r="E4" s="234"/>
    </row>
    <row r="5" spans="1:17" ht="31.5">
      <c r="A5" s="334" t="s">
        <v>1255</v>
      </c>
      <c r="B5" s="334" t="s">
        <v>1297</v>
      </c>
      <c r="C5" s="334" t="s">
        <v>188</v>
      </c>
      <c r="D5" s="334" t="s">
        <v>189</v>
      </c>
      <c r="E5" s="334" t="s">
        <v>90</v>
      </c>
    </row>
    <row r="6" spans="1:17" ht="15.75">
      <c r="A6" s="229">
        <v>1</v>
      </c>
      <c r="B6" s="229">
        <v>2</v>
      </c>
      <c r="C6" s="229">
        <v>3</v>
      </c>
      <c r="D6" s="229">
        <v>4</v>
      </c>
      <c r="E6" s="229">
        <v>5</v>
      </c>
    </row>
    <row r="7" spans="1:17" ht="15.75">
      <c r="A7" s="230">
        <v>1</v>
      </c>
      <c r="B7" s="243" t="s">
        <v>1802</v>
      </c>
      <c r="C7" s="229" t="s">
        <v>1296</v>
      </c>
      <c r="D7" s="229" t="s">
        <v>1296</v>
      </c>
      <c r="E7" s="232"/>
    </row>
    <row r="8" spans="1:17" ht="15.75">
      <c r="A8" s="230">
        <v>2</v>
      </c>
      <c r="B8" s="243" t="s">
        <v>1806</v>
      </c>
      <c r="C8" s="229" t="s">
        <v>1296</v>
      </c>
      <c r="D8" s="229" t="s">
        <v>1296</v>
      </c>
      <c r="E8" s="232"/>
    </row>
    <row r="9" spans="1:17" ht="15.75">
      <c r="A9" s="230">
        <v>3</v>
      </c>
      <c r="B9" s="243"/>
      <c r="C9" s="229"/>
      <c r="D9" s="229"/>
      <c r="E9" s="232"/>
    </row>
    <row r="10" spans="1:17" ht="15.75">
      <c r="A10" s="230">
        <v>4</v>
      </c>
      <c r="B10" s="243"/>
      <c r="C10" s="229"/>
      <c r="D10" s="229"/>
      <c r="E10" s="232"/>
    </row>
    <row r="11" spans="1:17" ht="15.75">
      <c r="A11" s="230">
        <v>5</v>
      </c>
      <c r="B11" s="233"/>
      <c r="C11" s="233"/>
      <c r="D11" s="233"/>
      <c r="E11" s="233"/>
    </row>
    <row r="12" spans="1:17" ht="15.75">
      <c r="A12" s="2032" t="s">
        <v>183</v>
      </c>
      <c r="B12" s="2033"/>
      <c r="C12" s="2033"/>
      <c r="D12" s="2034"/>
      <c r="E12" s="233"/>
    </row>
    <row r="14" spans="1:17" s="207" customFormat="1" ht="15.75">
      <c r="A14" s="234" t="s">
        <v>1077</v>
      </c>
      <c r="B14" s="234"/>
      <c r="C14" s="507"/>
      <c r="D14" s="311"/>
      <c r="E14" s="507"/>
      <c r="F14" s="311"/>
      <c r="G14" s="311"/>
      <c r="H14" s="311"/>
      <c r="I14" s="311"/>
      <c r="J14" s="311"/>
      <c r="K14" s="311"/>
      <c r="L14" s="311"/>
      <c r="M14" s="509"/>
      <c r="N14" s="509"/>
      <c r="O14" s="311"/>
      <c r="P14" s="311"/>
      <c r="Q14" s="311"/>
    </row>
    <row r="15" spans="1:17" s="207" customFormat="1" ht="31.5" customHeight="1">
      <c r="A15" s="221"/>
      <c r="B15" s="221"/>
      <c r="C15" s="523" t="s">
        <v>1078</v>
      </c>
      <c r="D15" s="524"/>
      <c r="E15" s="524" t="s">
        <v>1079</v>
      </c>
      <c r="F15" s="510"/>
      <c r="G15" s="510"/>
      <c r="H15" s="510"/>
      <c r="I15" s="510"/>
      <c r="J15" s="510"/>
      <c r="K15" s="510"/>
      <c r="L15" s="510"/>
      <c r="M15" s="509"/>
      <c r="N15" s="509"/>
      <c r="O15" s="510"/>
      <c r="P15" s="510"/>
      <c r="Q15" s="510"/>
    </row>
    <row r="16" spans="1:17" s="207" customFormat="1" ht="15.75">
      <c r="A16" s="234" t="s">
        <v>1076</v>
      </c>
      <c r="B16" s="234"/>
      <c r="C16" s="529"/>
      <c r="D16" s="528"/>
      <c r="E16" s="529"/>
      <c r="F16" s="311"/>
      <c r="G16" s="311"/>
      <c r="H16" s="311"/>
      <c r="I16" s="311"/>
      <c r="J16" s="311"/>
      <c r="K16" s="311"/>
      <c r="L16" s="311"/>
      <c r="M16" s="509"/>
      <c r="N16" s="509"/>
      <c r="O16" s="311"/>
      <c r="P16" s="311"/>
      <c r="Q16" s="311"/>
    </row>
    <row r="17" spans="2:17" s="207" customFormat="1" ht="31.5" customHeight="1">
      <c r="B17" s="221"/>
      <c r="C17" s="523" t="s">
        <v>1078</v>
      </c>
      <c r="D17" s="524"/>
      <c r="E17" s="524" t="s">
        <v>1079</v>
      </c>
      <c r="F17" s="510"/>
      <c r="G17" s="510"/>
      <c r="H17" s="510"/>
      <c r="I17" s="510"/>
      <c r="J17" s="510"/>
      <c r="K17" s="510"/>
      <c r="L17" s="510"/>
      <c r="M17" s="509"/>
      <c r="N17" s="509"/>
      <c r="O17" s="510"/>
      <c r="P17" s="510"/>
      <c r="Q17" s="510"/>
    </row>
  </sheetData>
  <customSheetViews>
    <customSheetView guid="{CA0FB9E2-E541-4C74-BCFE-D75491869B36}" fitToPage="1">
      <selection activeCell="C15" sqref="C15:E17"/>
      <pageMargins left="0.70866141732283472" right="0.70866141732283472" top="0.74803149606299213" bottom="0.74803149606299213" header="0.31496062992125984" footer="0.31496062992125984"/>
      <pageSetup paperSize="9" scale="82" orientation="portrait" r:id="rId1"/>
    </customSheetView>
    <customSheetView guid="{F10E3D8B-5892-420A-B023-68C6496D556B}" fitToPage="1">
      <selection activeCell="B13" sqref="B13"/>
      <pageMargins left="0.70866141732283472" right="0.70866141732283472" top="0.74803149606299213" bottom="0.74803149606299213" header="0.31496062992125984" footer="0.31496062992125984"/>
      <pageSetup paperSize="9" scale="82" orientation="portrait" r:id="rId2"/>
    </customSheetView>
    <customSheetView guid="{FE7E58EF-FECC-4DF6-BB75-BA97138CB219}" fitToPage="1">
      <selection activeCell="B13" sqref="B13"/>
      <pageMargins left="0.70866141732283472" right="0.70866141732283472" top="0.74803149606299213" bottom="0.74803149606299213" header="0.31496062992125984" footer="0.31496062992125984"/>
      <pageSetup paperSize="9" scale="82" orientation="portrait" r:id="rId3"/>
    </customSheetView>
    <customSheetView guid="{43136B00-66C6-4289-99D3-5EF20611F834}" fitToPage="1">
      <selection activeCell="A14" sqref="A14:IV17"/>
      <pageMargins left="0.70866141732283472" right="0.70866141732283472" top="0.74803149606299213" bottom="0.74803149606299213" header="0.31496062992125984" footer="0.31496062992125984"/>
      <pageSetup paperSize="9" scale="82" orientation="portrait" r:id="rId4"/>
    </customSheetView>
    <customSheetView guid="{22820B9F-10DE-4629-AF3D-4AF98A9BCEDB}" fitToPage="1">
      <selection activeCell="A14" sqref="A14:IV17"/>
      <pageMargins left="0.70866141732283472" right="0.70866141732283472" top="0.74803149606299213" bottom="0.74803149606299213" header="0.31496062992125984" footer="0.31496062992125984"/>
      <pageSetup paperSize="9" scale="82" orientation="portrait" r:id="rId5"/>
    </customSheetView>
  </customSheetViews>
  <mergeCells count="2">
    <mergeCell ref="A3:E3"/>
    <mergeCell ref="A12:D12"/>
  </mergeCells>
  <phoneticPr fontId="116" type="noConversion"/>
  <pageMargins left="0.70866141732283472" right="0.70866141732283472" top="0.74803149606299213" bottom="0.74803149606299213" header="0.31496062992125984" footer="0.31496062992125984"/>
  <pageSetup paperSize="9" scale="82" orientation="portrait" r:id="rId6"/>
</worksheet>
</file>

<file path=xl/worksheets/sheet82.xml><?xml version="1.0" encoding="utf-8"?>
<worksheet xmlns="http://schemas.openxmlformats.org/spreadsheetml/2006/main" xmlns:r="http://schemas.openxmlformats.org/officeDocument/2006/relationships">
  <sheetPr codeName="Лист22">
    <tabColor theme="0" tint="-0.499984740745262"/>
  </sheetPr>
  <dimension ref="A1:K30"/>
  <sheetViews>
    <sheetView view="pageBreakPreview" zoomScale="98" zoomScaleNormal="100" zoomScaleSheetLayoutView="98" workbookViewId="0">
      <selection activeCell="J14" sqref="J14"/>
    </sheetView>
  </sheetViews>
  <sheetFormatPr defaultRowHeight="15"/>
  <cols>
    <col min="1" max="1" width="4.42578125" style="26" bestFit="1" customWidth="1"/>
    <col min="2" max="2" width="43.140625" style="26" customWidth="1"/>
    <col min="3" max="3" width="8.28515625" style="72" customWidth="1"/>
    <col min="4" max="4" width="9.140625" style="72"/>
    <col min="5" max="5" width="9.7109375" style="72" customWidth="1"/>
    <col min="6" max="6" width="16" style="72" customWidth="1"/>
    <col min="7" max="16384" width="9.140625" style="26"/>
  </cols>
  <sheetData>
    <row r="1" spans="1:6" ht="15.75">
      <c r="A1" s="161"/>
      <c r="B1" s="161"/>
      <c r="C1" s="404"/>
      <c r="D1" s="404"/>
      <c r="E1" s="404"/>
      <c r="F1" s="209" t="s">
        <v>966</v>
      </c>
    </row>
    <row r="2" spans="1:6" ht="15.75">
      <c r="A2" s="161"/>
      <c r="B2" s="161"/>
      <c r="C2" s="404"/>
      <c r="D2" s="404"/>
      <c r="E2" s="404"/>
      <c r="F2" s="209"/>
    </row>
    <row r="3" spans="1:6" ht="33" customHeight="1">
      <c r="A3" s="1809" t="s">
        <v>1724</v>
      </c>
      <c r="B3" s="1809"/>
      <c r="C3" s="1809"/>
      <c r="D3" s="1809"/>
      <c r="E3" s="1809"/>
      <c r="F3" s="1809"/>
    </row>
    <row r="4" spans="1:6" ht="15.75">
      <c r="A4" s="2035"/>
      <c r="B4" s="2035"/>
      <c r="C4" s="2035"/>
      <c r="D4" s="2035"/>
      <c r="E4" s="2035"/>
      <c r="F4" s="2035"/>
    </row>
    <row r="5" spans="1:6" s="71" customFormat="1" ht="31.5">
      <c r="A5" s="228" t="s">
        <v>197</v>
      </c>
      <c r="B5" s="228" t="s">
        <v>218</v>
      </c>
      <c r="C5" s="228" t="s">
        <v>1257</v>
      </c>
      <c r="D5" s="228" t="s">
        <v>89</v>
      </c>
      <c r="E5" s="253" t="s">
        <v>223</v>
      </c>
      <c r="F5" s="253" t="s">
        <v>1392</v>
      </c>
    </row>
    <row r="6" spans="1:6" s="71" customFormat="1" ht="15.75">
      <c r="A6" s="228">
        <v>1</v>
      </c>
      <c r="B6" s="228">
        <v>2</v>
      </c>
      <c r="C6" s="228">
        <v>3</v>
      </c>
      <c r="D6" s="228">
        <v>4</v>
      </c>
      <c r="E6" s="254">
        <v>5</v>
      </c>
      <c r="F6" s="254">
        <v>6</v>
      </c>
    </row>
    <row r="7" spans="1:6" ht="15.75">
      <c r="A7" s="255">
        <v>1</v>
      </c>
      <c r="B7" s="257"/>
      <c r="C7" s="147"/>
      <c r="D7" s="147"/>
      <c r="E7" s="266"/>
      <c r="F7" s="256"/>
    </row>
    <row r="8" spans="1:6" ht="15.75">
      <c r="A8" s="255">
        <f>A7+1</f>
        <v>2</v>
      </c>
      <c r="B8" s="257"/>
      <c r="C8" s="147"/>
      <c r="D8" s="147"/>
      <c r="E8" s="266"/>
      <c r="F8" s="256"/>
    </row>
    <row r="9" spans="1:6" ht="15.75">
      <c r="A9" s="255">
        <f t="shared" ref="A9:A25" si="0">A8+1</f>
        <v>3</v>
      </c>
      <c r="B9" s="257"/>
      <c r="C9" s="147"/>
      <c r="D9" s="147"/>
      <c r="E9" s="247"/>
      <c r="F9" s="256"/>
    </row>
    <row r="10" spans="1:6" ht="15.75">
      <c r="A10" s="255">
        <f t="shared" si="0"/>
        <v>4</v>
      </c>
      <c r="B10" s="257"/>
      <c r="C10" s="147"/>
      <c r="D10" s="147"/>
      <c r="E10" s="247"/>
      <c r="F10" s="256"/>
    </row>
    <row r="11" spans="1:6" ht="15.75">
      <c r="A11" s="255">
        <f t="shared" si="0"/>
        <v>5</v>
      </c>
      <c r="B11" s="257"/>
      <c r="C11" s="147"/>
      <c r="D11" s="147"/>
      <c r="E11" s="247"/>
      <c r="F11" s="256"/>
    </row>
    <row r="12" spans="1:6" ht="15.75">
      <c r="A12" s="255">
        <f t="shared" si="0"/>
        <v>6</v>
      </c>
      <c r="B12" s="257"/>
      <c r="C12" s="147"/>
      <c r="D12" s="147"/>
      <c r="E12" s="247"/>
      <c r="F12" s="256"/>
    </row>
    <row r="13" spans="1:6" ht="15.75">
      <c r="A13" s="255">
        <f t="shared" si="0"/>
        <v>7</v>
      </c>
      <c r="B13" s="257"/>
      <c r="C13" s="147"/>
      <c r="D13" s="147"/>
      <c r="E13" s="247"/>
      <c r="F13" s="256"/>
    </row>
    <row r="14" spans="1:6" ht="15.75">
      <c r="A14" s="255">
        <f t="shared" si="0"/>
        <v>8</v>
      </c>
      <c r="B14" s="257"/>
      <c r="C14" s="147"/>
      <c r="D14" s="147"/>
      <c r="E14" s="247"/>
      <c r="F14" s="256"/>
    </row>
    <row r="15" spans="1:6" ht="15.75">
      <c r="A15" s="255">
        <f t="shared" si="0"/>
        <v>9</v>
      </c>
      <c r="B15" s="257"/>
      <c r="C15" s="147"/>
      <c r="D15" s="147"/>
      <c r="E15" s="247"/>
      <c r="F15" s="256"/>
    </row>
    <row r="16" spans="1:6" ht="15.75">
      <c r="A16" s="255">
        <f t="shared" si="0"/>
        <v>10</v>
      </c>
      <c r="B16" s="257"/>
      <c r="C16" s="147"/>
      <c r="D16" s="147"/>
      <c r="E16" s="247"/>
      <c r="F16" s="256"/>
    </row>
    <row r="17" spans="1:11" ht="15.75">
      <c r="A17" s="255">
        <f t="shared" si="0"/>
        <v>11</v>
      </c>
      <c r="B17" s="257"/>
      <c r="C17" s="147"/>
      <c r="D17" s="147"/>
      <c r="E17" s="247"/>
      <c r="F17" s="256"/>
    </row>
    <row r="18" spans="1:11" ht="15.75">
      <c r="A18" s="255">
        <f t="shared" si="0"/>
        <v>12</v>
      </c>
      <c r="B18" s="257"/>
      <c r="C18" s="147"/>
      <c r="D18" s="147"/>
      <c r="E18" s="247"/>
      <c r="F18" s="256"/>
    </row>
    <row r="19" spans="1:11" ht="15.75">
      <c r="A19" s="255">
        <f t="shared" si="0"/>
        <v>13</v>
      </c>
      <c r="B19" s="257"/>
      <c r="C19" s="147"/>
      <c r="D19" s="147"/>
      <c r="E19" s="247"/>
      <c r="F19" s="256"/>
    </row>
    <row r="20" spans="1:11" ht="15.75">
      <c r="A20" s="255">
        <f t="shared" si="0"/>
        <v>14</v>
      </c>
      <c r="B20" s="257"/>
      <c r="C20" s="147"/>
      <c r="D20" s="147"/>
      <c r="E20" s="247"/>
      <c r="F20" s="256"/>
    </row>
    <row r="21" spans="1:11" ht="15.75">
      <c r="A21" s="255">
        <f t="shared" si="0"/>
        <v>15</v>
      </c>
      <c r="B21" s="257"/>
      <c r="C21" s="147"/>
      <c r="D21" s="147"/>
      <c r="E21" s="247"/>
      <c r="F21" s="256"/>
    </row>
    <row r="22" spans="1:11" ht="15.75">
      <c r="A22" s="255">
        <f t="shared" si="0"/>
        <v>16</v>
      </c>
      <c r="B22" s="257"/>
      <c r="C22" s="147"/>
      <c r="D22" s="147"/>
      <c r="E22" s="247"/>
      <c r="F22" s="256"/>
    </row>
    <row r="23" spans="1:11" ht="15.75">
      <c r="A23" s="255">
        <f t="shared" si="0"/>
        <v>17</v>
      </c>
      <c r="B23" s="257"/>
      <c r="C23" s="147"/>
      <c r="D23" s="147"/>
      <c r="E23" s="247"/>
      <c r="F23" s="256"/>
    </row>
    <row r="24" spans="1:11" ht="15.75">
      <c r="A24" s="255">
        <f t="shared" si="0"/>
        <v>18</v>
      </c>
      <c r="B24" s="257"/>
      <c r="C24" s="147"/>
      <c r="D24" s="147"/>
      <c r="E24" s="247"/>
      <c r="F24" s="256"/>
    </row>
    <row r="25" spans="1:11" ht="15.75">
      <c r="A25" s="255">
        <f t="shared" si="0"/>
        <v>19</v>
      </c>
      <c r="B25" s="257"/>
      <c r="C25" s="147"/>
      <c r="D25" s="147"/>
      <c r="E25" s="247"/>
      <c r="F25" s="256"/>
    </row>
    <row r="26" spans="1:11" ht="15.75">
      <c r="A26" s="1810" t="s">
        <v>183</v>
      </c>
      <c r="B26" s="1810"/>
      <c r="C26" s="1810"/>
      <c r="D26" s="1810"/>
      <c r="E26" s="1810"/>
      <c r="F26" s="258"/>
    </row>
    <row r="27" spans="1:11" s="207" customFormat="1" ht="15.75">
      <c r="B27" s="234" t="s">
        <v>1077</v>
      </c>
      <c r="C27" s="311"/>
      <c r="D27" s="507"/>
      <c r="E27" s="311"/>
      <c r="F27" s="507"/>
      <c r="G27" s="511"/>
      <c r="H27" s="311"/>
      <c r="I27" s="311"/>
      <c r="K27" s="311"/>
    </row>
    <row r="28" spans="1:11" s="207" customFormat="1" ht="31.5" customHeight="1">
      <c r="B28" s="221"/>
      <c r="C28" s="217"/>
      <c r="D28" s="523" t="s">
        <v>1078</v>
      </c>
      <c r="E28" s="523"/>
      <c r="F28" s="524" t="s">
        <v>1079</v>
      </c>
      <c r="G28" s="511"/>
      <c r="H28" s="511"/>
      <c r="I28" s="510"/>
      <c r="K28" s="510"/>
    </row>
    <row r="29" spans="1:11" s="207" customFormat="1" ht="15.75">
      <c r="B29" s="505" t="s">
        <v>1076</v>
      </c>
      <c r="C29" s="311"/>
      <c r="D29" s="529"/>
      <c r="E29" s="528"/>
      <c r="F29" s="529"/>
      <c r="G29" s="510"/>
      <c r="H29" s="311"/>
      <c r="I29" s="311"/>
      <c r="K29" s="311"/>
    </row>
    <row r="30" spans="1:11" s="207" customFormat="1" ht="31.5" customHeight="1">
      <c r="B30" s="221"/>
      <c r="C30" s="217"/>
      <c r="D30" s="523" t="s">
        <v>1078</v>
      </c>
      <c r="E30" s="523"/>
      <c r="F30" s="524" t="s">
        <v>1079</v>
      </c>
      <c r="G30" s="511"/>
      <c r="H30" s="511"/>
      <c r="I30" s="510"/>
      <c r="K30" s="510"/>
    </row>
  </sheetData>
  <customSheetViews>
    <customSheetView guid="{CA0FB9E2-E541-4C74-BCFE-D75491869B36}" scale="98" showPageBreaks="1" view="pageBreakPreview">
      <selection activeCell="K13" sqref="K13:K14"/>
      <pageMargins left="0.98425196850393704" right="0.19685039370078741" top="0.78740157480314965" bottom="0.39370078740157483" header="0.51181102362204722" footer="0.51181102362204722"/>
      <pageSetup paperSize="9" scale="98" orientation="portrait" r:id="rId1"/>
      <headerFooter alignWithMargins="0"/>
    </customSheetView>
    <customSheetView guid="{F10E3D8B-5892-420A-B023-68C6496D556B}">
      <selection activeCell="C17" sqref="C17"/>
      <pageMargins left="0.98425196850393704" right="0.19685039370078741" top="0.78740157480314965" bottom="0.39370078740157483" header="0.51181102362204722" footer="0.51181102362204722"/>
      <pageSetup paperSize="9" orientation="portrait" r:id="rId2"/>
      <headerFooter alignWithMargins="0"/>
    </customSheetView>
    <customSheetView guid="{FE7E58EF-FECC-4DF6-BB75-BA97138CB219}">
      <selection activeCell="C17" sqref="C17"/>
      <pageMargins left="0.98425196850393704" right="0.19685039370078741" top="0.78740157480314965" bottom="0.39370078740157483" header="0.51181102362204722" footer="0.51181102362204722"/>
      <pageSetup paperSize="9" orientation="portrait" r:id="rId3"/>
      <headerFooter alignWithMargins="0"/>
    </customSheetView>
    <customSheetView guid="{43136B00-66C6-4289-99D3-5EF20611F834}" scale="98" showPageBreaks="1" view="pageBreakPreview">
      <selection activeCell="F1" sqref="F1"/>
      <pageMargins left="0.98425196850393704" right="0.19685039370078741" top="0.78740157480314965" bottom="0.39370078740157483" header="0.51181102362204722" footer="0.51181102362204722"/>
      <pageSetup paperSize="9" scale="98" orientation="portrait" r:id="rId4"/>
      <headerFooter alignWithMargins="0"/>
    </customSheetView>
    <customSheetView guid="{22820B9F-10DE-4629-AF3D-4AF98A9BCEDB}" scale="98" showPageBreaks="1" view="pageBreakPreview">
      <selection activeCell="K13" sqref="K13:K14"/>
      <pageMargins left="0.98425196850393704" right="0.19685039370078741" top="0.78740157480314965" bottom="0.39370078740157483" header="0.51181102362204722" footer="0.51181102362204722"/>
      <pageSetup paperSize="9" scale="98" orientation="portrait" r:id="rId5"/>
      <headerFooter alignWithMargins="0"/>
    </customSheetView>
  </customSheetViews>
  <mergeCells count="3">
    <mergeCell ref="A3:F3"/>
    <mergeCell ref="A4:F4"/>
    <mergeCell ref="A26:E26"/>
  </mergeCells>
  <phoneticPr fontId="116" type="noConversion"/>
  <pageMargins left="0.98425196850393704" right="0.19685039370078741" top="0.78740157480314965" bottom="0.39370078740157483" header="0.51181102362204722" footer="0.51181102362204722"/>
  <pageSetup paperSize="9" scale="98" orientation="portrait" r:id="rId6"/>
  <headerFooter alignWithMargins="0"/>
</worksheet>
</file>

<file path=xl/worksheets/sheet83.xml><?xml version="1.0" encoding="utf-8"?>
<worksheet xmlns="http://schemas.openxmlformats.org/spreadsheetml/2006/main" xmlns:r="http://schemas.openxmlformats.org/officeDocument/2006/relationships">
  <sheetPr codeName="Лист19">
    <tabColor theme="0" tint="-0.499984740745262"/>
  </sheetPr>
  <dimension ref="A1:I28"/>
  <sheetViews>
    <sheetView view="pageBreakPreview" zoomScaleNormal="100" zoomScaleSheetLayoutView="100" workbookViewId="0">
      <selection activeCell="F6" sqref="F6"/>
    </sheetView>
  </sheetViews>
  <sheetFormatPr defaultRowHeight="15"/>
  <cols>
    <col min="1" max="1" width="4.5703125" style="86" customWidth="1"/>
    <col min="2" max="2" width="47" style="86" customWidth="1"/>
    <col min="3" max="3" width="7.140625" style="86" customWidth="1"/>
    <col min="4" max="4" width="13.5703125" style="86" customWidth="1"/>
    <col min="5" max="5" width="16.7109375" style="86" customWidth="1"/>
    <col min="6" max="6" width="18.140625" style="86" customWidth="1"/>
    <col min="7" max="7" width="12.28515625" style="85" customWidth="1"/>
    <col min="8" max="8" width="13.140625" style="85" customWidth="1"/>
    <col min="9" max="16384" width="9.140625" style="86"/>
  </cols>
  <sheetData>
    <row r="1" spans="1:8" ht="0.75" customHeight="1"/>
    <row r="2" spans="1:8" ht="34.700000000000003" customHeight="1">
      <c r="A2" s="415"/>
      <c r="B2" s="415"/>
      <c r="C2" s="415"/>
      <c r="D2" s="415"/>
      <c r="E2" s="415"/>
      <c r="F2" s="209" t="s">
        <v>963</v>
      </c>
    </row>
    <row r="3" spans="1:8" ht="15.75">
      <c r="A3" s="415"/>
      <c r="B3" s="415"/>
      <c r="C3" s="415"/>
      <c r="D3" s="415"/>
      <c r="E3" s="415"/>
      <c r="F3" s="209"/>
    </row>
    <row r="4" spans="1:8" ht="33.75" customHeight="1">
      <c r="A4" s="2039" t="s">
        <v>1721</v>
      </c>
      <c r="B4" s="2039"/>
      <c r="C4" s="2039"/>
      <c r="D4" s="2039"/>
      <c r="E4" s="2039"/>
      <c r="F4" s="2039"/>
    </row>
    <row r="5" spans="1:8" ht="15.75">
      <c r="A5" s="2040"/>
      <c r="B5" s="2040"/>
      <c r="C5" s="2040"/>
      <c r="D5" s="2040"/>
      <c r="E5" s="2040"/>
      <c r="F5" s="2040"/>
    </row>
    <row r="6" spans="1:8" ht="34.700000000000003" customHeight="1">
      <c r="A6" s="298" t="s">
        <v>1267</v>
      </c>
      <c r="B6" s="298" t="s">
        <v>1517</v>
      </c>
      <c r="C6" s="298" t="s">
        <v>1305</v>
      </c>
      <c r="D6" s="299" t="s">
        <v>211</v>
      </c>
      <c r="E6" s="299" t="s">
        <v>1259</v>
      </c>
      <c r="F6" s="253" t="s">
        <v>1030</v>
      </c>
    </row>
    <row r="7" spans="1:8" ht="15.75">
      <c r="A7" s="416">
        <v>1</v>
      </c>
      <c r="B7" s="298">
        <v>2</v>
      </c>
      <c r="C7" s="298">
        <v>3</v>
      </c>
      <c r="D7" s="299">
        <v>4</v>
      </c>
      <c r="E7" s="299">
        <v>5</v>
      </c>
      <c r="F7" s="299">
        <v>6</v>
      </c>
    </row>
    <row r="8" spans="1:8" ht="15.75">
      <c r="A8" s="291">
        <v>1</v>
      </c>
      <c r="B8" s="292"/>
      <c r="C8" s="292"/>
      <c r="D8" s="293"/>
      <c r="E8" s="294"/>
      <c r="F8" s="294"/>
      <c r="H8" s="87"/>
    </row>
    <row r="9" spans="1:8" ht="15.75">
      <c r="A9" s="291">
        <v>2</v>
      </c>
      <c r="B9" s="292"/>
      <c r="C9" s="292"/>
      <c r="D9" s="293"/>
      <c r="E9" s="294"/>
      <c r="F9" s="294"/>
      <c r="H9" s="87"/>
    </row>
    <row r="10" spans="1:8" ht="15.75">
      <c r="A10" s="291">
        <v>3</v>
      </c>
      <c r="B10" s="292"/>
      <c r="C10" s="292"/>
      <c r="D10" s="293"/>
      <c r="E10" s="294"/>
      <c r="F10" s="294"/>
      <c r="H10" s="87"/>
    </row>
    <row r="11" spans="1:8" ht="15.75">
      <c r="A11" s="291">
        <v>4</v>
      </c>
      <c r="B11" s="292"/>
      <c r="C11" s="292"/>
      <c r="D11" s="293"/>
      <c r="E11" s="294"/>
      <c r="F11" s="294"/>
      <c r="H11" s="87"/>
    </row>
    <row r="12" spans="1:8" ht="15.75">
      <c r="A12" s="291">
        <v>5</v>
      </c>
      <c r="B12" s="292"/>
      <c r="C12" s="292"/>
      <c r="D12" s="293"/>
      <c r="E12" s="294"/>
      <c r="F12" s="294"/>
      <c r="H12" s="87"/>
    </row>
    <row r="13" spans="1:8" ht="15.75">
      <c r="A13" s="291">
        <v>6</v>
      </c>
      <c r="B13" s="292"/>
      <c r="C13" s="292"/>
      <c r="D13" s="293"/>
      <c r="E13" s="294"/>
      <c r="F13" s="294"/>
      <c r="H13" s="87"/>
    </row>
    <row r="14" spans="1:8" ht="15.75">
      <c r="A14" s="291">
        <v>7</v>
      </c>
      <c r="B14" s="292"/>
      <c r="C14" s="292"/>
      <c r="D14" s="293"/>
      <c r="E14" s="294"/>
      <c r="F14" s="294"/>
      <c r="H14" s="87"/>
    </row>
    <row r="15" spans="1:8" ht="15.75">
      <c r="A15" s="291">
        <v>8</v>
      </c>
      <c r="B15" s="292"/>
      <c r="C15" s="292"/>
      <c r="D15" s="293"/>
      <c r="E15" s="294"/>
      <c r="F15" s="294"/>
      <c r="H15" s="87"/>
    </row>
    <row r="16" spans="1:8" ht="15.75">
      <c r="A16" s="291">
        <v>9</v>
      </c>
      <c r="B16" s="292"/>
      <c r="C16" s="292"/>
      <c r="D16" s="293"/>
      <c r="E16" s="294"/>
      <c r="F16" s="294"/>
      <c r="H16" s="87"/>
    </row>
    <row r="17" spans="1:9" ht="15.75">
      <c r="A17" s="291">
        <v>10</v>
      </c>
      <c r="B17" s="292"/>
      <c r="C17" s="292"/>
      <c r="D17" s="293"/>
      <c r="E17" s="294"/>
      <c r="F17" s="294"/>
      <c r="H17" s="87"/>
    </row>
    <row r="18" spans="1:9" ht="15.75">
      <c r="A18" s="291">
        <v>11</v>
      </c>
      <c r="B18" s="292"/>
      <c r="C18" s="292"/>
      <c r="D18" s="293"/>
      <c r="E18" s="294"/>
      <c r="F18" s="294"/>
      <c r="H18" s="87"/>
    </row>
    <row r="19" spans="1:9" ht="15.75">
      <c r="A19" s="291">
        <v>12</v>
      </c>
      <c r="B19" s="292"/>
      <c r="C19" s="292"/>
      <c r="D19" s="293"/>
      <c r="E19" s="294"/>
      <c r="F19" s="294"/>
      <c r="H19" s="87"/>
    </row>
    <row r="20" spans="1:9" ht="15.75">
      <c r="A20" s="295"/>
      <c r="B20" s="2036" t="s">
        <v>183</v>
      </c>
      <c r="C20" s="2037"/>
      <c r="D20" s="2037"/>
      <c r="E20" s="2038"/>
      <c r="F20" s="296"/>
      <c r="H20" s="87"/>
    </row>
    <row r="21" spans="1:9" ht="15.75" customHeight="1">
      <c r="A21" s="297"/>
      <c r="B21" s="297"/>
      <c r="C21" s="297"/>
      <c r="D21" s="297"/>
      <c r="E21" s="297"/>
      <c r="F21" s="297"/>
      <c r="H21" s="87"/>
    </row>
    <row r="22" spans="1:9" s="207" customFormat="1" ht="15.75">
      <c r="B22" s="506" t="s">
        <v>1077</v>
      </c>
      <c r="C22" s="311"/>
      <c r="D22" s="507"/>
      <c r="E22" s="311"/>
      <c r="F22" s="507"/>
      <c r="G22" s="511"/>
      <c r="H22" s="311"/>
      <c r="I22" s="311"/>
    </row>
    <row r="23" spans="1:9" s="207" customFormat="1" ht="31.5" customHeight="1">
      <c r="B23" s="221"/>
      <c r="C23" s="217"/>
      <c r="D23" s="534" t="s">
        <v>1078</v>
      </c>
      <c r="E23" s="523"/>
      <c r="F23" s="524" t="s">
        <v>1079</v>
      </c>
      <c r="G23" s="511"/>
      <c r="H23" s="511"/>
      <c r="I23" s="510"/>
    </row>
    <row r="24" spans="1:9" s="207" customFormat="1" ht="15.75">
      <c r="B24" s="514" t="s">
        <v>1076</v>
      </c>
      <c r="C24" s="311"/>
      <c r="D24" s="529"/>
      <c r="E24" s="528"/>
      <c r="F24" s="529"/>
      <c r="G24" s="510"/>
      <c r="H24" s="311"/>
      <c r="I24" s="311"/>
    </row>
    <row r="25" spans="1:9" s="207" customFormat="1" ht="31.5" customHeight="1">
      <c r="B25" s="221"/>
      <c r="C25" s="217"/>
      <c r="D25" s="534" t="s">
        <v>1078</v>
      </c>
      <c r="E25" s="523"/>
      <c r="F25" s="524" t="s">
        <v>1079</v>
      </c>
      <c r="G25" s="511"/>
      <c r="H25" s="511"/>
      <c r="I25" s="510"/>
    </row>
    <row r="26" spans="1:9" ht="15.75">
      <c r="A26" s="300"/>
      <c r="B26" s="300"/>
      <c r="C26" s="300"/>
      <c r="D26" s="301"/>
      <c r="E26" s="301"/>
      <c r="F26" s="301"/>
    </row>
    <row r="27" spans="1:9" ht="15.75">
      <c r="A27" s="301"/>
      <c r="B27" s="301"/>
      <c r="C27" s="301"/>
      <c r="D27" s="301"/>
      <c r="E27" s="301"/>
      <c r="F27" s="301"/>
    </row>
    <row r="28" spans="1:9" ht="15.75">
      <c r="A28" s="417"/>
      <c r="B28" s="417"/>
      <c r="C28" s="417"/>
      <c r="D28" s="301"/>
      <c r="E28" s="301"/>
      <c r="F28" s="301"/>
    </row>
  </sheetData>
  <customSheetViews>
    <customSheetView guid="{CA0FB9E2-E541-4C74-BCFE-D75491869B36}" showPageBreaks="1" printArea="1" view="pageBreakPreview">
      <selection activeCell="D27" sqref="D27"/>
      <pageMargins left="0.82677165354330717" right="0.19685039370078741" top="0.19685039370078741" bottom="0.19685039370078741" header="0.51181102362204722" footer="0.51181102362204722"/>
      <pageSetup paperSize="9" scale="77" orientation="portrait" r:id="rId1"/>
      <headerFooter alignWithMargins="0"/>
    </customSheetView>
    <customSheetView guid="{F10E3D8B-5892-420A-B023-68C6496D556B}" showPageBreaks="1" printArea="1">
      <selection activeCell="A2" sqref="A2:F2"/>
      <pageMargins left="0.82677165354330717" right="0.19685039370078741" top="0.19685039370078741" bottom="0.19685039370078741" header="0.51181102362204722" footer="0.51181102362204722"/>
      <pageSetup paperSize="9" scale="77" orientation="portrait" r:id="rId2"/>
      <headerFooter alignWithMargins="0"/>
    </customSheetView>
    <customSheetView guid="{FE7E58EF-FECC-4DF6-BB75-BA97138CB219}" showPageBreaks="1" printArea="1">
      <selection activeCell="A2" sqref="A2:F2"/>
      <pageMargins left="0.82677165354330717" right="0.19685039370078741" top="0.19685039370078741" bottom="0.19685039370078741" header="0.51181102362204722" footer="0.51181102362204722"/>
      <pageSetup paperSize="9" scale="77" orientation="portrait" r:id="rId3"/>
      <headerFooter alignWithMargins="0"/>
    </customSheetView>
    <customSheetView guid="{43136B00-66C6-4289-99D3-5EF20611F834}" showPageBreaks="1" printArea="1">
      <selection activeCell="E26" sqref="E26"/>
      <pageMargins left="0.82677165354330717" right="0.19685039370078741" top="0.19685039370078741" bottom="0.19685039370078741" header="0.51181102362204722" footer="0.51181102362204722"/>
      <pageSetup paperSize="9" scale="77" orientation="portrait" r:id="rId4"/>
      <headerFooter alignWithMargins="0"/>
    </customSheetView>
    <customSheetView guid="{22820B9F-10DE-4629-AF3D-4AF98A9BCEDB}" showPageBreaks="1" printArea="1" view="pageBreakPreview">
      <selection activeCell="A22" sqref="A22:IV25"/>
      <pageMargins left="0.82677165354330717" right="0.19685039370078741" top="0.19685039370078741" bottom="0.19685039370078741" header="0.51181102362204722" footer="0.51181102362204722"/>
      <pageSetup paperSize="9" scale="77" orientation="portrait" r:id="rId5"/>
      <headerFooter alignWithMargins="0"/>
    </customSheetView>
  </customSheetViews>
  <mergeCells count="3">
    <mergeCell ref="B20:E20"/>
    <mergeCell ref="A4:F4"/>
    <mergeCell ref="A5:F5"/>
  </mergeCells>
  <phoneticPr fontId="116" type="noConversion"/>
  <pageMargins left="0.82677165354330717" right="0.19685039370078741" top="0.19685039370078741" bottom="0.19685039370078741" header="0.51181102362204722" footer="0.51181102362204722"/>
  <pageSetup paperSize="9" scale="77" orientation="portrait" r:id="rId6"/>
  <headerFooter alignWithMargins="0"/>
</worksheet>
</file>

<file path=xl/worksheets/sheet84.xml><?xml version="1.0" encoding="utf-8"?>
<worksheet xmlns="http://schemas.openxmlformats.org/spreadsheetml/2006/main" xmlns:r="http://schemas.openxmlformats.org/officeDocument/2006/relationships">
  <sheetPr codeName="Лист25">
    <tabColor theme="0" tint="-0.499984740745262"/>
  </sheetPr>
  <dimension ref="A1:T24"/>
  <sheetViews>
    <sheetView view="pageBreakPreview" topLeftCell="A10" zoomScaleNormal="100" zoomScaleSheetLayoutView="100" workbookViewId="0">
      <selection activeCell="B17" sqref="B17:N17"/>
    </sheetView>
  </sheetViews>
  <sheetFormatPr defaultRowHeight="15"/>
  <cols>
    <col min="1" max="1" width="3.5703125" style="28" bestFit="1" customWidth="1"/>
    <col min="2" max="2" width="5.28515625" style="28" customWidth="1"/>
    <col min="3" max="3" width="3.140625" style="28" customWidth="1"/>
    <col min="4" max="4" width="2.5703125" style="28" customWidth="1"/>
    <col min="5" max="5" width="3.140625" style="28" customWidth="1"/>
    <col min="6" max="6" width="4.5703125" style="28" customWidth="1"/>
    <col min="7" max="7" width="5" style="28" customWidth="1"/>
    <col min="8" max="8" width="6.140625" style="28" customWidth="1"/>
    <col min="9" max="9" width="2.140625" style="28" customWidth="1"/>
    <col min="10" max="11" width="5" style="28" customWidth="1"/>
    <col min="12" max="12" width="9.7109375" style="28" customWidth="1"/>
    <col min="13" max="13" width="5" style="28" customWidth="1"/>
    <col min="14" max="14" width="6.7109375" style="28" customWidth="1"/>
    <col min="15" max="15" width="18.28515625" style="28" customWidth="1"/>
    <col min="16" max="16" width="14.140625" style="28" customWidth="1"/>
    <col min="17" max="17" width="9.140625" style="28"/>
    <col min="18" max="18" width="13.85546875" style="28" customWidth="1"/>
    <col min="19" max="16384" width="9.140625" style="28"/>
  </cols>
  <sheetData>
    <row r="1" spans="1:16" ht="15.75">
      <c r="A1" s="267"/>
      <c r="B1" s="267"/>
      <c r="C1" s="267"/>
      <c r="D1" s="267"/>
      <c r="E1" s="267"/>
      <c r="F1" s="267"/>
      <c r="G1" s="267"/>
      <c r="H1" s="267"/>
      <c r="I1" s="267"/>
      <c r="J1" s="267"/>
      <c r="K1" s="267"/>
      <c r="L1" s="267"/>
      <c r="M1" s="267"/>
      <c r="N1" s="267"/>
      <c r="O1" s="267"/>
      <c r="P1" s="209" t="s">
        <v>1792</v>
      </c>
    </row>
    <row r="2" spans="1:16" ht="15.75">
      <c r="A2" s="267"/>
      <c r="B2" s="267"/>
      <c r="C2" s="267"/>
      <c r="D2" s="267"/>
      <c r="E2" s="267"/>
      <c r="F2" s="267"/>
      <c r="G2" s="267"/>
      <c r="H2" s="267"/>
      <c r="I2" s="267"/>
      <c r="J2" s="267"/>
      <c r="K2" s="267"/>
      <c r="L2" s="267"/>
      <c r="M2" s="267"/>
      <c r="N2" s="267"/>
      <c r="O2" s="267"/>
      <c r="P2" s="209"/>
    </row>
    <row r="3" spans="1:16" ht="15.75">
      <c r="A3" s="1861" t="s">
        <v>1801</v>
      </c>
      <c r="B3" s="1861"/>
      <c r="C3" s="1861"/>
      <c r="D3" s="1861"/>
      <c r="E3" s="1861"/>
      <c r="F3" s="1861"/>
      <c r="G3" s="1861"/>
      <c r="H3" s="1861"/>
      <c r="I3" s="1861"/>
      <c r="J3" s="1861"/>
      <c r="K3" s="1861"/>
      <c r="L3" s="1861"/>
      <c r="M3" s="1861"/>
      <c r="N3" s="1861"/>
      <c r="O3" s="1861"/>
      <c r="P3" s="1861"/>
    </row>
    <row r="4" spans="1:16" ht="15.75">
      <c r="A4" s="419"/>
      <c r="B4" s="419"/>
      <c r="C4" s="419"/>
      <c r="D4" s="419"/>
      <c r="E4" s="419"/>
      <c r="F4" s="419"/>
      <c r="G4" s="419"/>
      <c r="H4" s="419"/>
      <c r="I4" s="419"/>
      <c r="J4" s="419"/>
      <c r="K4" s="419"/>
      <c r="L4" s="419"/>
      <c r="M4" s="419"/>
      <c r="N4" s="419"/>
      <c r="O4" s="419"/>
      <c r="P4" s="419"/>
    </row>
    <row r="5" spans="1:16" ht="15.75">
      <c r="A5" s="1975" t="s">
        <v>1674</v>
      </c>
      <c r="B5" s="1975"/>
      <c r="C5" s="1975"/>
      <c r="D5" s="1975"/>
      <c r="E5" s="1975"/>
      <c r="F5" s="1975"/>
      <c r="G5" s="1975"/>
      <c r="H5" s="1975"/>
      <c r="I5" s="1975"/>
      <c r="J5" s="1975"/>
      <c r="K5" s="1975"/>
      <c r="L5" s="1975"/>
      <c r="M5" s="1975"/>
      <c r="N5" s="1975"/>
      <c r="O5" s="1975"/>
      <c r="P5" s="1975"/>
    </row>
    <row r="6" spans="1:16" ht="15.75">
      <c r="A6" s="311"/>
      <c r="B6" s="311"/>
      <c r="C6" s="311"/>
      <c r="D6" s="311"/>
      <c r="E6" s="311"/>
      <c r="F6" s="311"/>
      <c r="G6" s="311"/>
      <c r="H6" s="311"/>
      <c r="I6" s="311"/>
      <c r="J6" s="311"/>
      <c r="K6" s="311"/>
      <c r="L6" s="311"/>
      <c r="M6" s="311"/>
      <c r="N6" s="311"/>
      <c r="O6" s="311"/>
      <c r="P6" s="311"/>
    </row>
    <row r="7" spans="1:16" ht="15.75">
      <c r="A7" s="1975" t="s">
        <v>196</v>
      </c>
      <c r="B7" s="1975"/>
      <c r="C7" s="1975"/>
      <c r="D7" s="1975"/>
      <c r="E7" s="1975"/>
      <c r="F7" s="1975"/>
      <c r="G7" s="1975"/>
      <c r="H7" s="1975"/>
      <c r="I7" s="1975"/>
      <c r="J7" s="1975"/>
      <c r="K7" s="1975"/>
      <c r="L7" s="1975"/>
      <c r="M7" s="1975"/>
      <c r="N7" s="1975"/>
      <c r="O7" s="1975"/>
      <c r="P7" s="1975"/>
    </row>
    <row r="8" spans="1:16" ht="15.75">
      <c r="A8" s="267"/>
      <c r="B8" s="267"/>
      <c r="C8" s="267"/>
      <c r="D8" s="267"/>
      <c r="E8" s="267"/>
      <c r="F8" s="267"/>
      <c r="G8" s="267"/>
      <c r="H8" s="267"/>
      <c r="I8" s="267"/>
      <c r="J8" s="267"/>
      <c r="K8" s="267"/>
      <c r="L8" s="267"/>
      <c r="M8" s="267"/>
      <c r="N8" s="267"/>
      <c r="O8" s="267"/>
      <c r="P8" s="267"/>
    </row>
    <row r="9" spans="1:16" ht="47.25">
      <c r="A9" s="237" t="s">
        <v>1267</v>
      </c>
      <c r="B9" s="1969" t="s">
        <v>218</v>
      </c>
      <c r="C9" s="1970"/>
      <c r="D9" s="1970"/>
      <c r="E9" s="1970"/>
      <c r="F9" s="1970"/>
      <c r="G9" s="1970"/>
      <c r="H9" s="1970"/>
      <c r="I9" s="1970"/>
      <c r="J9" s="1970"/>
      <c r="K9" s="1970"/>
      <c r="L9" s="1970"/>
      <c r="M9" s="1970"/>
      <c r="N9" s="1971"/>
      <c r="O9" s="241" t="s">
        <v>1718</v>
      </c>
      <c r="P9" s="228" t="s">
        <v>90</v>
      </c>
    </row>
    <row r="10" spans="1:16" ht="15.75">
      <c r="A10" s="237">
        <v>1</v>
      </c>
      <c r="B10" s="1969">
        <v>2</v>
      </c>
      <c r="C10" s="1970"/>
      <c r="D10" s="1970"/>
      <c r="E10" s="1970"/>
      <c r="F10" s="1970"/>
      <c r="G10" s="1970"/>
      <c r="H10" s="1970"/>
      <c r="I10" s="1970"/>
      <c r="J10" s="1970"/>
      <c r="K10" s="1970"/>
      <c r="L10" s="1970"/>
      <c r="M10" s="1970"/>
      <c r="N10" s="1971"/>
      <c r="O10" s="228">
        <v>3</v>
      </c>
      <c r="P10" s="237">
        <v>4</v>
      </c>
    </row>
    <row r="11" spans="1:16" ht="15.75">
      <c r="A11" s="237">
        <v>1</v>
      </c>
      <c r="B11" s="1972" t="s">
        <v>1802</v>
      </c>
      <c r="C11" s="1973"/>
      <c r="D11" s="1973"/>
      <c r="E11" s="1973"/>
      <c r="F11" s="1973"/>
      <c r="G11" s="1973"/>
      <c r="H11" s="1973"/>
      <c r="I11" s="1973"/>
      <c r="J11" s="1973"/>
      <c r="K11" s="1973"/>
      <c r="L11" s="1973"/>
      <c r="M11" s="1973"/>
      <c r="N11" s="1974"/>
      <c r="O11" s="228" t="s">
        <v>1296</v>
      </c>
      <c r="P11" s="237"/>
    </row>
    <row r="12" spans="1:16" ht="15.75">
      <c r="A12" s="237">
        <v>2</v>
      </c>
      <c r="B12" s="1972" t="s">
        <v>1096</v>
      </c>
      <c r="C12" s="1973"/>
      <c r="D12" s="1973"/>
      <c r="E12" s="1973"/>
      <c r="F12" s="1973"/>
      <c r="G12" s="1973"/>
      <c r="H12" s="1973"/>
      <c r="I12" s="1973"/>
      <c r="J12" s="1973"/>
      <c r="K12" s="1973"/>
      <c r="L12" s="1973"/>
      <c r="M12" s="1973"/>
      <c r="N12" s="1974"/>
      <c r="O12" s="228" t="s">
        <v>1296</v>
      </c>
      <c r="P12" s="237"/>
    </row>
    <row r="13" spans="1:16" ht="15.75">
      <c r="A13" s="312">
        <v>3</v>
      </c>
      <c r="B13" s="2043" t="s">
        <v>1518</v>
      </c>
      <c r="C13" s="2043"/>
      <c r="D13" s="2043"/>
      <c r="E13" s="2043"/>
      <c r="F13" s="2043"/>
      <c r="G13" s="2043"/>
      <c r="H13" s="2043"/>
      <c r="I13" s="2043"/>
      <c r="J13" s="2043"/>
      <c r="K13" s="2043"/>
      <c r="L13" s="2043"/>
      <c r="M13" s="2043"/>
      <c r="N13" s="2043"/>
      <c r="O13" s="305"/>
      <c r="P13" s="313"/>
    </row>
    <row r="14" spans="1:16" ht="15.75">
      <c r="A14" s="312"/>
      <c r="B14" s="1983" t="s">
        <v>185</v>
      </c>
      <c r="C14" s="1984"/>
      <c r="D14" s="1984"/>
      <c r="E14" s="1984"/>
      <c r="F14" s="1984"/>
      <c r="G14" s="1984"/>
      <c r="H14" s="1984"/>
      <c r="I14" s="1984"/>
      <c r="J14" s="1984"/>
      <c r="K14" s="1984"/>
      <c r="L14" s="1984"/>
      <c r="M14" s="1984"/>
      <c r="N14" s="1985"/>
      <c r="O14" s="305"/>
      <c r="P14" s="313"/>
    </row>
    <row r="15" spans="1:16" ht="15.75">
      <c r="A15" s="312"/>
      <c r="B15" s="2020"/>
      <c r="C15" s="2021"/>
      <c r="D15" s="2021"/>
      <c r="E15" s="2021"/>
      <c r="F15" s="2021"/>
      <c r="G15" s="2021"/>
      <c r="H15" s="2021"/>
      <c r="I15" s="2021"/>
      <c r="J15" s="2021"/>
      <c r="K15" s="2021"/>
      <c r="L15" s="2021"/>
      <c r="M15" s="2021"/>
      <c r="N15" s="2022"/>
      <c r="O15" s="305"/>
      <c r="P15" s="313"/>
    </row>
    <row r="16" spans="1:16" ht="30" customHeight="1">
      <c r="A16" s="312">
        <v>4</v>
      </c>
      <c r="B16" s="1980" t="s">
        <v>1519</v>
      </c>
      <c r="C16" s="1980"/>
      <c r="D16" s="1980"/>
      <c r="E16" s="1980"/>
      <c r="F16" s="1980"/>
      <c r="G16" s="1980"/>
      <c r="H16" s="1980"/>
      <c r="I16" s="1980"/>
      <c r="J16" s="1980"/>
      <c r="K16" s="1980"/>
      <c r="L16" s="1980"/>
      <c r="M16" s="1980"/>
      <c r="N16" s="1981"/>
      <c r="O16" s="305"/>
      <c r="P16" s="313"/>
    </row>
    <row r="17" spans="1:20" ht="21" customHeight="1">
      <c r="A17" s="246">
        <v>5</v>
      </c>
      <c r="B17" s="1983"/>
      <c r="C17" s="1984"/>
      <c r="D17" s="1984"/>
      <c r="E17" s="1984"/>
      <c r="F17" s="1984"/>
      <c r="G17" s="1984"/>
      <c r="H17" s="1984"/>
      <c r="I17" s="1984"/>
      <c r="J17" s="1984"/>
      <c r="K17" s="1984"/>
      <c r="L17" s="1984"/>
      <c r="M17" s="1984"/>
      <c r="N17" s="1985"/>
      <c r="O17" s="305"/>
      <c r="P17" s="313"/>
      <c r="R17" s="81"/>
      <c r="S17" s="82"/>
      <c r="T17" s="82"/>
    </row>
    <row r="18" spans="1:20" ht="15.75">
      <c r="A18" s="314"/>
      <c r="B18" s="2041" t="s">
        <v>183</v>
      </c>
      <c r="C18" s="2041"/>
      <c r="D18" s="2041"/>
      <c r="E18" s="2041"/>
      <c r="F18" s="2041"/>
      <c r="G18" s="2041"/>
      <c r="H18" s="2041"/>
      <c r="I18" s="2041"/>
      <c r="J18" s="2041"/>
      <c r="K18" s="2041"/>
      <c r="L18" s="2041"/>
      <c r="M18" s="2041"/>
      <c r="N18" s="2042"/>
      <c r="O18" s="309"/>
      <c r="P18" s="310"/>
      <c r="R18" s="81"/>
      <c r="S18" s="83"/>
      <c r="T18" s="82"/>
    </row>
    <row r="19" spans="1:20" ht="15.75">
      <c r="A19" s="267"/>
      <c r="B19" s="267"/>
      <c r="C19" s="275"/>
      <c r="D19" s="267"/>
      <c r="E19" s="267"/>
      <c r="F19" s="267"/>
      <c r="G19" s="267"/>
      <c r="H19" s="267"/>
      <c r="I19" s="267"/>
      <c r="J19" s="267"/>
      <c r="K19" s="267"/>
      <c r="L19" s="267"/>
      <c r="M19" s="267"/>
      <c r="N19" s="267"/>
      <c r="O19" s="267"/>
      <c r="P19" s="267"/>
      <c r="R19" s="81"/>
      <c r="S19" s="82"/>
      <c r="T19" s="82"/>
    </row>
    <row r="21" spans="1:20" s="207" customFormat="1" ht="15.75">
      <c r="B21" s="234" t="s">
        <v>1077</v>
      </c>
      <c r="C21" s="311"/>
      <c r="D21" s="311"/>
      <c r="E21" s="311"/>
      <c r="F21" s="311"/>
      <c r="G21" s="511"/>
      <c r="H21" s="311"/>
      <c r="I21" s="311"/>
      <c r="K21" s="311"/>
      <c r="L21" s="507"/>
      <c r="O21" s="311"/>
      <c r="P21" s="507"/>
    </row>
    <row r="22" spans="1:20" s="207" customFormat="1" ht="31.5" customHeight="1">
      <c r="B22" s="221"/>
      <c r="C22" s="217"/>
      <c r="E22" s="217"/>
      <c r="F22" s="510"/>
      <c r="G22" s="511"/>
      <c r="H22" s="511"/>
      <c r="I22" s="510"/>
      <c r="K22" s="510"/>
      <c r="L22" s="523" t="s">
        <v>1078</v>
      </c>
      <c r="M22" s="527"/>
      <c r="N22" s="527"/>
      <c r="O22" s="524"/>
      <c r="P22" s="524" t="s">
        <v>1079</v>
      </c>
    </row>
    <row r="23" spans="1:20" s="207" customFormat="1" ht="15.75">
      <c r="B23" s="234" t="s">
        <v>1076</v>
      </c>
      <c r="C23" s="311"/>
      <c r="D23" s="311"/>
      <c r="E23" s="311"/>
      <c r="F23" s="311"/>
      <c r="G23" s="511"/>
      <c r="H23" s="311"/>
      <c r="I23" s="311"/>
      <c r="K23" s="311"/>
      <c r="L23" s="529"/>
      <c r="M23" s="527"/>
      <c r="N23" s="527"/>
      <c r="O23" s="528"/>
      <c r="P23" s="529"/>
    </row>
    <row r="24" spans="1:20" s="207" customFormat="1" ht="31.5" customHeight="1">
      <c r="B24" s="221"/>
      <c r="C24" s="217"/>
      <c r="E24" s="217"/>
      <c r="F24" s="510"/>
      <c r="G24" s="511"/>
      <c r="H24" s="511"/>
      <c r="I24" s="510"/>
      <c r="K24" s="510"/>
      <c r="L24" s="523" t="s">
        <v>1078</v>
      </c>
      <c r="M24" s="527"/>
      <c r="N24" s="527"/>
      <c r="O24" s="524"/>
      <c r="P24" s="524" t="s">
        <v>1079</v>
      </c>
    </row>
  </sheetData>
  <customSheetViews>
    <customSheetView guid="{CA0FB9E2-E541-4C74-BCFE-D75491869B36}" showPageBreaks="1" printArea="1" view="pageBreakPreview">
      <selection activeCell="B12" sqref="B12:N12"/>
      <pageMargins left="0.35433070866141736" right="0.15748031496062992" top="0.74803149606299213" bottom="0.74803149606299213" header="0.31496062992125984" footer="0.31496062992125984"/>
      <printOptions horizontalCentered="1"/>
      <pageSetup paperSize="9" scale="95" orientation="portrait" r:id="rId1"/>
    </customSheetView>
    <customSheetView guid="{F10E3D8B-5892-420A-B023-68C6496D556B}" showPageBreaks="1" printArea="1">
      <selection activeCell="O8" sqref="O8"/>
      <pageMargins left="0.35433070866141736" right="0.15748031496062992" top="0.74803149606299213" bottom="0.74803149606299213" header="0.31496062992125984" footer="0.31496062992125984"/>
      <printOptions horizontalCentered="1"/>
      <pageSetup paperSize="9" orientation="portrait" r:id="rId2"/>
    </customSheetView>
    <customSheetView guid="{FE7E58EF-FECC-4DF6-BB75-BA97138CB219}" showPageBreaks="1" printArea="1">
      <selection activeCell="O8" sqref="O8"/>
      <pageMargins left="0.35433070866141736" right="0.15748031496062992" top="0.74803149606299213" bottom="0.74803149606299213" header="0.31496062992125984" footer="0.31496062992125984"/>
      <printOptions horizontalCentered="1"/>
      <pageSetup paperSize="9" orientation="portrait" r:id="rId3"/>
    </customSheetView>
    <customSheetView guid="{43136B00-66C6-4289-99D3-5EF20611F834}" showPageBreaks="1" printArea="1">
      <selection activeCell="U21" sqref="U21"/>
      <pageMargins left="0.35433070866141736" right="0.15748031496062992" top="0.74803149606299213" bottom="0.74803149606299213" header="0.31496062992125984" footer="0.31496062992125984"/>
      <printOptions horizontalCentered="1"/>
      <pageSetup paperSize="9" scale="95" orientation="portrait" r:id="rId4"/>
    </customSheetView>
    <customSheetView guid="{22820B9F-10DE-4629-AF3D-4AF98A9BCEDB}" showPageBreaks="1" printArea="1" view="pageBreakPreview">
      <selection activeCell="O25" sqref="O25:P25"/>
      <pageMargins left="0.35433070866141736" right="0.15748031496062992" top="0.74803149606299213" bottom="0.74803149606299213" header="0.31496062992125984" footer="0.31496062992125984"/>
      <printOptions horizontalCentered="1"/>
      <pageSetup paperSize="9" scale="95" orientation="portrait" r:id="rId5"/>
    </customSheetView>
  </customSheetViews>
  <mergeCells count="13">
    <mergeCell ref="B17:N17"/>
    <mergeCell ref="B10:N10"/>
    <mergeCell ref="B14:N14"/>
    <mergeCell ref="B15:N15"/>
    <mergeCell ref="B11:N11"/>
    <mergeCell ref="B12:N12"/>
    <mergeCell ref="B18:N18"/>
    <mergeCell ref="A3:P3"/>
    <mergeCell ref="A5:P5"/>
    <mergeCell ref="A7:P7"/>
    <mergeCell ref="B9:N9"/>
    <mergeCell ref="B13:N13"/>
    <mergeCell ref="B16:N16"/>
  </mergeCells>
  <phoneticPr fontId="116" type="noConversion"/>
  <printOptions horizontalCentered="1"/>
  <pageMargins left="0.35433070866141736" right="0.15748031496062992" top="0.74803149606299213" bottom="0.74803149606299213" header="0.31496062992125984" footer="0.31496062992125984"/>
  <pageSetup paperSize="9" scale="95" orientation="portrait" r:id="rId6"/>
</worksheet>
</file>

<file path=xl/worksheets/sheet85.xml><?xml version="1.0" encoding="utf-8"?>
<worksheet xmlns="http://schemas.openxmlformats.org/spreadsheetml/2006/main" xmlns:r="http://schemas.openxmlformats.org/officeDocument/2006/relationships">
  <sheetPr codeName="Лист26">
    <tabColor theme="0" tint="-0.499984740745262"/>
    <pageSetUpPr fitToPage="1"/>
  </sheetPr>
  <dimension ref="A1:R47"/>
  <sheetViews>
    <sheetView zoomScale="53" zoomScaleNormal="53" workbookViewId="0">
      <selection activeCell="B38" sqref="B38"/>
    </sheetView>
  </sheetViews>
  <sheetFormatPr defaultRowHeight="15"/>
  <cols>
    <col min="1" max="1" width="3.42578125" style="25" customWidth="1"/>
    <col min="2" max="2" width="31.28515625" style="4" customWidth="1"/>
    <col min="3" max="3" width="15" style="4" customWidth="1"/>
    <col min="4" max="4" width="14.28515625" style="4" customWidth="1"/>
    <col min="5" max="5" width="7.85546875" style="4" customWidth="1"/>
    <col min="6" max="6" width="13.7109375" style="4" customWidth="1"/>
    <col min="7" max="7" width="9.7109375" style="4" customWidth="1"/>
    <col min="8" max="8" width="11.140625" style="4" customWidth="1"/>
    <col min="9" max="9" width="15.5703125" style="4" customWidth="1"/>
    <col min="10" max="10" width="8.5703125" style="4" customWidth="1"/>
    <col min="11" max="11" width="14.140625" style="4" customWidth="1"/>
    <col min="12" max="12" width="9.5703125" style="4" customWidth="1"/>
    <col min="13" max="13" width="12.42578125" style="4" customWidth="1"/>
    <col min="14" max="14" width="9.140625" style="4"/>
    <col min="15" max="15" width="9.85546875" style="4" customWidth="1"/>
    <col min="16" max="16" width="14.28515625" style="4" customWidth="1"/>
    <col min="17" max="17" width="17" style="4" customWidth="1"/>
    <col min="18" max="18" width="12.140625" style="4" customWidth="1"/>
    <col min="19" max="16384" width="9.140625" style="4"/>
  </cols>
  <sheetData>
    <row r="1" spans="1:18" ht="15.75">
      <c r="A1" s="323"/>
      <c r="B1" s="324"/>
      <c r="C1" s="324"/>
      <c r="D1" s="324"/>
      <c r="E1" s="324"/>
      <c r="F1" s="324"/>
      <c r="G1" s="324"/>
      <c r="H1" s="324"/>
      <c r="I1" s="324"/>
      <c r="J1" s="324"/>
      <c r="K1" s="324"/>
      <c r="L1" s="324"/>
      <c r="M1" s="324"/>
      <c r="N1" s="324"/>
      <c r="O1" s="324"/>
      <c r="P1" s="420"/>
      <c r="Q1" s="209"/>
      <c r="R1" s="209" t="s">
        <v>1793</v>
      </c>
    </row>
    <row r="2" spans="1:18" ht="15.75">
      <c r="A2" s="323"/>
      <c r="B2" s="324"/>
      <c r="C2" s="324"/>
      <c r="D2" s="324"/>
      <c r="E2" s="324"/>
      <c r="F2" s="324"/>
      <c r="G2" s="324"/>
      <c r="H2" s="324"/>
      <c r="I2" s="324"/>
      <c r="J2" s="324"/>
      <c r="K2" s="324"/>
      <c r="L2" s="324"/>
      <c r="M2" s="324"/>
      <c r="N2" s="324"/>
      <c r="O2" s="324"/>
      <c r="P2" s="420"/>
      <c r="Q2" s="209"/>
      <c r="R2" s="324"/>
    </row>
    <row r="3" spans="1:18" ht="15.75" customHeight="1">
      <c r="A3" s="2045" t="s">
        <v>1808</v>
      </c>
      <c r="B3" s="2045"/>
      <c r="C3" s="2045"/>
      <c r="D3" s="2045"/>
      <c r="E3" s="2045"/>
      <c r="F3" s="2045"/>
      <c r="G3" s="2045"/>
      <c r="H3" s="2045"/>
      <c r="I3" s="2045"/>
      <c r="J3" s="2045"/>
      <c r="K3" s="2045"/>
      <c r="L3" s="2045"/>
      <c r="M3" s="2045"/>
      <c r="N3" s="2045"/>
      <c r="O3" s="2045"/>
      <c r="P3" s="2045"/>
      <c r="Q3" s="2045"/>
      <c r="R3" s="2045"/>
    </row>
    <row r="4" spans="1:18" ht="15.75" customHeight="1">
      <c r="A4" s="2046"/>
      <c r="B4" s="2046"/>
      <c r="C4" s="2046"/>
      <c r="D4" s="2046"/>
      <c r="E4" s="2046"/>
      <c r="F4" s="2046"/>
      <c r="G4" s="2046"/>
      <c r="H4" s="2046"/>
      <c r="I4" s="2046"/>
      <c r="J4" s="2046"/>
      <c r="K4" s="2046"/>
      <c r="L4" s="2046"/>
      <c r="M4" s="2046"/>
      <c r="N4" s="2046"/>
      <c r="O4" s="2046"/>
      <c r="P4" s="2046"/>
      <c r="Q4" s="2046"/>
      <c r="R4" s="324"/>
    </row>
    <row r="5" spans="1:18" ht="15" customHeight="1">
      <c r="A5" s="1676"/>
      <c r="B5" s="2047"/>
      <c r="C5" s="1676" t="s">
        <v>1314</v>
      </c>
      <c r="D5" s="1676"/>
      <c r="E5" s="1676"/>
      <c r="F5" s="1676"/>
      <c r="G5" s="1676"/>
      <c r="H5" s="1676"/>
      <c r="I5" s="1676"/>
      <c r="J5" s="1676"/>
      <c r="K5" s="1676"/>
      <c r="L5" s="1676"/>
      <c r="M5" s="1676"/>
      <c r="N5" s="1676"/>
      <c r="O5" s="1676"/>
      <c r="P5" s="1676"/>
      <c r="Q5" s="1676"/>
      <c r="R5" s="1693" t="s">
        <v>84</v>
      </c>
    </row>
    <row r="6" spans="1:18" ht="115.5" customHeight="1">
      <c r="A6" s="1676"/>
      <c r="B6" s="2047"/>
      <c r="C6" s="1676" t="s">
        <v>1319</v>
      </c>
      <c r="D6" s="1676" t="s">
        <v>193</v>
      </c>
      <c r="E6" s="1676"/>
      <c r="F6" s="1676"/>
      <c r="G6" s="1676"/>
      <c r="H6" s="1676"/>
      <c r="I6" s="1676" t="s">
        <v>194</v>
      </c>
      <c r="J6" s="1676"/>
      <c r="K6" s="1676"/>
      <c r="L6" s="1676"/>
      <c r="M6" s="1676"/>
      <c r="N6" s="1838" t="s">
        <v>195</v>
      </c>
      <c r="O6" s="1838"/>
      <c r="P6" s="1838"/>
      <c r="Q6" s="1677" t="s">
        <v>1315</v>
      </c>
      <c r="R6" s="2044"/>
    </row>
    <row r="7" spans="1:18" ht="66" customHeight="1">
      <c r="A7" s="1676"/>
      <c r="B7" s="2047"/>
      <c r="C7" s="1676"/>
      <c r="D7" s="1676" t="s">
        <v>1316</v>
      </c>
      <c r="E7" s="1676" t="s">
        <v>1317</v>
      </c>
      <c r="F7" s="1676"/>
      <c r="G7" s="1676" t="s">
        <v>1318</v>
      </c>
      <c r="H7" s="1676"/>
      <c r="I7" s="1676" t="s">
        <v>1316</v>
      </c>
      <c r="J7" s="1676" t="s">
        <v>1317</v>
      </c>
      <c r="K7" s="1676"/>
      <c r="L7" s="1676" t="s">
        <v>1318</v>
      </c>
      <c r="M7" s="1676"/>
      <c r="N7" s="1838" t="s">
        <v>1319</v>
      </c>
      <c r="O7" s="1677" t="s">
        <v>1320</v>
      </c>
      <c r="P7" s="1676" t="s">
        <v>65</v>
      </c>
      <c r="Q7" s="1677"/>
      <c r="R7" s="2044"/>
    </row>
    <row r="8" spans="1:18" ht="63">
      <c r="A8" s="1676"/>
      <c r="B8" s="2047"/>
      <c r="C8" s="1676"/>
      <c r="D8" s="1676"/>
      <c r="E8" s="318" t="s">
        <v>66</v>
      </c>
      <c r="F8" s="318" t="s">
        <v>67</v>
      </c>
      <c r="G8" s="318" t="s">
        <v>66</v>
      </c>
      <c r="H8" s="241" t="s">
        <v>1320</v>
      </c>
      <c r="I8" s="1676"/>
      <c r="J8" s="318" t="s">
        <v>66</v>
      </c>
      <c r="K8" s="318" t="s">
        <v>67</v>
      </c>
      <c r="L8" s="318" t="s">
        <v>66</v>
      </c>
      <c r="M8" s="241" t="s">
        <v>1320</v>
      </c>
      <c r="N8" s="1838"/>
      <c r="O8" s="1677"/>
      <c r="P8" s="1676"/>
      <c r="Q8" s="1677"/>
      <c r="R8" s="1694"/>
    </row>
    <row r="9" spans="1:18" s="80" customFormat="1" ht="31.5">
      <c r="A9" s="335">
        <v>1</v>
      </c>
      <c r="B9" s="317">
        <v>2</v>
      </c>
      <c r="C9" s="335" t="s">
        <v>68</v>
      </c>
      <c r="D9" s="335">
        <v>4</v>
      </c>
      <c r="E9" s="335">
        <v>5</v>
      </c>
      <c r="F9" s="335">
        <v>6</v>
      </c>
      <c r="G9" s="335">
        <v>7</v>
      </c>
      <c r="H9" s="335">
        <v>8</v>
      </c>
      <c r="I9" s="335">
        <v>9</v>
      </c>
      <c r="J9" s="335">
        <v>10</v>
      </c>
      <c r="K9" s="335">
        <v>11</v>
      </c>
      <c r="L9" s="335">
        <v>12</v>
      </c>
      <c r="M9" s="335">
        <v>13</v>
      </c>
      <c r="N9" s="421">
        <v>14</v>
      </c>
      <c r="O9" s="335">
        <v>15</v>
      </c>
      <c r="P9" s="335">
        <v>16</v>
      </c>
      <c r="Q9" s="335">
        <v>17</v>
      </c>
      <c r="R9" s="317">
        <v>18</v>
      </c>
    </row>
    <row r="10" spans="1:18" ht="31.5">
      <c r="A10" s="319">
        <v>1</v>
      </c>
      <c r="B10" s="320" t="s">
        <v>86</v>
      </c>
      <c r="C10" s="321">
        <f>D10+E10+G10+I10+J10+L10</f>
        <v>0</v>
      </c>
      <c r="D10" s="321"/>
      <c r="E10" s="321">
        <f t="shared" ref="E10:O10" si="0">E11+E12</f>
        <v>0</v>
      </c>
      <c r="F10" s="321">
        <f t="shared" si="0"/>
        <v>0</v>
      </c>
      <c r="G10" s="321">
        <f t="shared" si="0"/>
        <v>0</v>
      </c>
      <c r="H10" s="321">
        <f t="shared" si="0"/>
        <v>0</v>
      </c>
      <c r="I10" s="321"/>
      <c r="J10" s="321">
        <f t="shared" si="0"/>
        <v>0</v>
      </c>
      <c r="K10" s="321">
        <f t="shared" si="0"/>
        <v>0</v>
      </c>
      <c r="L10" s="321">
        <f t="shared" si="0"/>
        <v>0</v>
      </c>
      <c r="M10" s="321">
        <f t="shared" si="0"/>
        <v>0</v>
      </c>
      <c r="N10" s="321">
        <f t="shared" si="0"/>
        <v>0</v>
      </c>
      <c r="O10" s="321">
        <f t="shared" si="0"/>
        <v>0</v>
      </c>
      <c r="P10" s="321">
        <f>P11+P12</f>
        <v>0</v>
      </c>
      <c r="Q10" s="321">
        <f>F10+K10+P10</f>
        <v>0</v>
      </c>
      <c r="R10" s="321">
        <f>R11+R12</f>
        <v>0</v>
      </c>
    </row>
    <row r="11" spans="1:18" ht="15.75">
      <c r="A11" s="319"/>
      <c r="B11" s="320" t="s">
        <v>69</v>
      </c>
      <c r="C11" s="321" t="s">
        <v>70</v>
      </c>
      <c r="D11" s="321" t="s">
        <v>70</v>
      </c>
      <c r="E11" s="321"/>
      <c r="F11" s="321"/>
      <c r="G11" s="321"/>
      <c r="H11" s="321"/>
      <c r="I11" s="321" t="s">
        <v>70</v>
      </c>
      <c r="J11" s="321"/>
      <c r="K11" s="321"/>
      <c r="L11" s="321"/>
      <c r="M11" s="321"/>
      <c r="N11" s="321"/>
      <c r="O11" s="321"/>
      <c r="P11" s="321"/>
      <c r="Q11" s="321">
        <f t="shared" ref="Q11:Q23" si="1">F11+K11+P11</f>
        <v>0</v>
      </c>
      <c r="R11" s="321"/>
    </row>
    <row r="12" spans="1:18" ht="15.75">
      <c r="A12" s="319"/>
      <c r="B12" s="320" t="s">
        <v>71</v>
      </c>
      <c r="C12" s="321" t="s">
        <v>70</v>
      </c>
      <c r="D12" s="321" t="s">
        <v>70</v>
      </c>
      <c r="E12" s="321"/>
      <c r="F12" s="321"/>
      <c r="G12" s="321"/>
      <c r="H12" s="321"/>
      <c r="I12" s="321" t="s">
        <v>70</v>
      </c>
      <c r="J12" s="321"/>
      <c r="K12" s="321"/>
      <c r="L12" s="321"/>
      <c r="M12" s="321"/>
      <c r="N12" s="321"/>
      <c r="O12" s="321"/>
      <c r="P12" s="321"/>
      <c r="Q12" s="321">
        <f t="shared" si="1"/>
        <v>0</v>
      </c>
      <c r="R12" s="321"/>
    </row>
    <row r="13" spans="1:18" ht="15.75">
      <c r="A13" s="319">
        <v>2</v>
      </c>
      <c r="B13" s="320" t="s">
        <v>72</v>
      </c>
      <c r="C13" s="321">
        <f>D13+E13+G13+I13+J13+L13</f>
        <v>0</v>
      </c>
      <c r="D13" s="321"/>
      <c r="E13" s="321">
        <f t="shared" ref="E13:O13" si="2">E14+E15</f>
        <v>0</v>
      </c>
      <c r="F13" s="321">
        <f t="shared" si="2"/>
        <v>0</v>
      </c>
      <c r="G13" s="321">
        <f t="shared" si="2"/>
        <v>0</v>
      </c>
      <c r="H13" s="321">
        <f t="shared" si="2"/>
        <v>0</v>
      </c>
      <c r="I13" s="321"/>
      <c r="J13" s="321">
        <f t="shared" si="2"/>
        <v>0</v>
      </c>
      <c r="K13" s="321">
        <f t="shared" si="2"/>
        <v>0</v>
      </c>
      <c r="L13" s="321">
        <f t="shared" si="2"/>
        <v>0</v>
      </c>
      <c r="M13" s="321">
        <f t="shared" si="2"/>
        <v>0</v>
      </c>
      <c r="N13" s="321">
        <f t="shared" si="2"/>
        <v>0</v>
      </c>
      <c r="O13" s="321">
        <f t="shared" si="2"/>
        <v>0</v>
      </c>
      <c r="P13" s="321">
        <f>P14+P15</f>
        <v>0</v>
      </c>
      <c r="Q13" s="321">
        <f t="shared" si="1"/>
        <v>0</v>
      </c>
      <c r="R13" s="321">
        <f>R14+R15</f>
        <v>0</v>
      </c>
    </row>
    <row r="14" spans="1:18" ht="15.75">
      <c r="A14" s="319"/>
      <c r="B14" s="320" t="s">
        <v>69</v>
      </c>
      <c r="C14" s="321" t="s">
        <v>70</v>
      </c>
      <c r="D14" s="321" t="s">
        <v>70</v>
      </c>
      <c r="E14" s="321"/>
      <c r="F14" s="321"/>
      <c r="G14" s="321"/>
      <c r="H14" s="321"/>
      <c r="I14" s="321" t="s">
        <v>70</v>
      </c>
      <c r="J14" s="321"/>
      <c r="K14" s="321"/>
      <c r="L14" s="321"/>
      <c r="M14" s="321"/>
      <c r="N14" s="321"/>
      <c r="O14" s="321"/>
      <c r="P14" s="321"/>
      <c r="Q14" s="321">
        <f t="shared" si="1"/>
        <v>0</v>
      </c>
      <c r="R14" s="321"/>
    </row>
    <row r="15" spans="1:18" ht="15.75">
      <c r="A15" s="319"/>
      <c r="B15" s="320" t="s">
        <v>71</v>
      </c>
      <c r="C15" s="321" t="s">
        <v>70</v>
      </c>
      <c r="D15" s="321" t="s">
        <v>70</v>
      </c>
      <c r="E15" s="321"/>
      <c r="F15" s="321"/>
      <c r="G15" s="321"/>
      <c r="H15" s="321"/>
      <c r="I15" s="321" t="s">
        <v>70</v>
      </c>
      <c r="J15" s="321"/>
      <c r="K15" s="321"/>
      <c r="L15" s="321"/>
      <c r="M15" s="321"/>
      <c r="N15" s="321"/>
      <c r="O15" s="321"/>
      <c r="P15" s="321"/>
      <c r="Q15" s="321">
        <f t="shared" si="1"/>
        <v>0</v>
      </c>
      <c r="R15" s="321"/>
    </row>
    <row r="16" spans="1:18" ht="15.75">
      <c r="A16" s="319">
        <v>3</v>
      </c>
      <c r="B16" s="320" t="s">
        <v>73</v>
      </c>
      <c r="C16" s="321">
        <f>D16+E16+G16+I16+J16+L16</f>
        <v>0</v>
      </c>
      <c r="D16" s="321"/>
      <c r="E16" s="321">
        <f t="shared" ref="E16:O16" si="3">E17+E18</f>
        <v>0</v>
      </c>
      <c r="F16" s="321">
        <f t="shared" si="3"/>
        <v>0</v>
      </c>
      <c r="G16" s="321">
        <f t="shared" si="3"/>
        <v>0</v>
      </c>
      <c r="H16" s="321">
        <f t="shared" si="3"/>
        <v>0</v>
      </c>
      <c r="I16" s="321"/>
      <c r="J16" s="321">
        <f t="shared" si="3"/>
        <v>0</v>
      </c>
      <c r="K16" s="321">
        <f t="shared" si="3"/>
        <v>0</v>
      </c>
      <c r="L16" s="321">
        <f t="shared" si="3"/>
        <v>0</v>
      </c>
      <c r="M16" s="321">
        <f t="shared" si="3"/>
        <v>0</v>
      </c>
      <c r="N16" s="321">
        <f t="shared" si="3"/>
        <v>0</v>
      </c>
      <c r="O16" s="321">
        <f t="shared" si="3"/>
        <v>0</v>
      </c>
      <c r="P16" s="321">
        <f>P17+P18</f>
        <v>0</v>
      </c>
      <c r="Q16" s="321">
        <f t="shared" si="1"/>
        <v>0</v>
      </c>
      <c r="R16" s="321">
        <f>R17+R18</f>
        <v>0</v>
      </c>
    </row>
    <row r="17" spans="1:18" ht="15.75">
      <c r="A17" s="319"/>
      <c r="B17" s="320" t="s">
        <v>69</v>
      </c>
      <c r="C17" s="321" t="s">
        <v>70</v>
      </c>
      <c r="D17" s="321" t="s">
        <v>70</v>
      </c>
      <c r="E17" s="321"/>
      <c r="F17" s="321"/>
      <c r="G17" s="321"/>
      <c r="H17" s="321"/>
      <c r="I17" s="321" t="s">
        <v>70</v>
      </c>
      <c r="J17" s="321"/>
      <c r="K17" s="321"/>
      <c r="L17" s="321"/>
      <c r="M17" s="321"/>
      <c r="N17" s="321"/>
      <c r="O17" s="321"/>
      <c r="P17" s="321"/>
      <c r="Q17" s="321">
        <f t="shared" si="1"/>
        <v>0</v>
      </c>
      <c r="R17" s="321"/>
    </row>
    <row r="18" spans="1:18" ht="15.75">
      <c r="A18" s="319"/>
      <c r="B18" s="320" t="s">
        <v>71</v>
      </c>
      <c r="C18" s="321" t="s">
        <v>70</v>
      </c>
      <c r="D18" s="321" t="s">
        <v>70</v>
      </c>
      <c r="E18" s="321"/>
      <c r="F18" s="321"/>
      <c r="G18" s="321"/>
      <c r="H18" s="321"/>
      <c r="I18" s="321" t="s">
        <v>70</v>
      </c>
      <c r="J18" s="321"/>
      <c r="K18" s="321"/>
      <c r="L18" s="321"/>
      <c r="M18" s="321"/>
      <c r="N18" s="321"/>
      <c r="O18" s="321"/>
      <c r="P18" s="321"/>
      <c r="Q18" s="321">
        <f t="shared" si="1"/>
        <v>0</v>
      </c>
      <c r="R18" s="321"/>
    </row>
    <row r="19" spans="1:18" ht="15.75">
      <c r="A19" s="319"/>
      <c r="B19" s="320" t="s">
        <v>74</v>
      </c>
      <c r="C19" s="321">
        <f>D19+E19+G19+I19+J19+L19</f>
        <v>0</v>
      </c>
      <c r="D19" s="321"/>
      <c r="E19" s="321">
        <f t="shared" ref="E19:O19" si="4">E20+E21</f>
        <v>0</v>
      </c>
      <c r="F19" s="321">
        <f t="shared" si="4"/>
        <v>0</v>
      </c>
      <c r="G19" s="321">
        <f t="shared" si="4"/>
        <v>0</v>
      </c>
      <c r="H19" s="321">
        <f t="shared" si="4"/>
        <v>0</v>
      </c>
      <c r="I19" s="321"/>
      <c r="J19" s="321">
        <f t="shared" si="4"/>
        <v>0</v>
      </c>
      <c r="K19" s="321">
        <f t="shared" si="4"/>
        <v>0</v>
      </c>
      <c r="L19" s="321">
        <f t="shared" si="4"/>
        <v>0</v>
      </c>
      <c r="M19" s="321">
        <f t="shared" si="4"/>
        <v>0</v>
      </c>
      <c r="N19" s="321">
        <f t="shared" si="4"/>
        <v>0</v>
      </c>
      <c r="O19" s="321">
        <f t="shared" si="4"/>
        <v>0</v>
      </c>
      <c r="P19" s="321">
        <f>P20+P21</f>
        <v>0</v>
      </c>
      <c r="Q19" s="321">
        <f t="shared" si="1"/>
        <v>0</v>
      </c>
      <c r="R19" s="321">
        <f>R20+R21</f>
        <v>0</v>
      </c>
    </row>
    <row r="20" spans="1:18" ht="15.75">
      <c r="A20" s="319"/>
      <c r="B20" s="320" t="s">
        <v>69</v>
      </c>
      <c r="C20" s="321" t="s">
        <v>70</v>
      </c>
      <c r="D20" s="321" t="s">
        <v>70</v>
      </c>
      <c r="E20" s="321"/>
      <c r="F20" s="321"/>
      <c r="G20" s="321"/>
      <c r="H20" s="321"/>
      <c r="I20" s="321" t="s">
        <v>70</v>
      </c>
      <c r="J20" s="321"/>
      <c r="K20" s="321"/>
      <c r="L20" s="321"/>
      <c r="M20" s="321"/>
      <c r="N20" s="321"/>
      <c r="O20" s="321"/>
      <c r="P20" s="321"/>
      <c r="Q20" s="321">
        <f t="shared" si="1"/>
        <v>0</v>
      </c>
      <c r="R20" s="321"/>
    </row>
    <row r="21" spans="1:18" ht="15.75">
      <c r="A21" s="319"/>
      <c r="B21" s="320" t="s">
        <v>71</v>
      </c>
      <c r="C21" s="321" t="s">
        <v>70</v>
      </c>
      <c r="D21" s="321" t="s">
        <v>70</v>
      </c>
      <c r="E21" s="321"/>
      <c r="F21" s="321"/>
      <c r="G21" s="321"/>
      <c r="H21" s="321"/>
      <c r="I21" s="321" t="s">
        <v>70</v>
      </c>
      <c r="J21" s="321"/>
      <c r="K21" s="321"/>
      <c r="L21" s="321"/>
      <c r="M21" s="321"/>
      <c r="N21" s="321"/>
      <c r="O21" s="321"/>
      <c r="P21" s="321"/>
      <c r="Q21" s="321">
        <f t="shared" si="1"/>
        <v>0</v>
      </c>
      <c r="R21" s="321"/>
    </row>
    <row r="22" spans="1:18" ht="15.75">
      <c r="A22" s="319">
        <v>4</v>
      </c>
      <c r="B22" s="320" t="s">
        <v>75</v>
      </c>
      <c r="C22" s="321">
        <f>D22+E22+G22+I22+J22+L22</f>
        <v>0</v>
      </c>
      <c r="D22" s="321"/>
      <c r="E22" s="321">
        <f t="shared" ref="E22:O22" si="5">E23+E24</f>
        <v>0</v>
      </c>
      <c r="F22" s="321">
        <f>F23+F24</f>
        <v>0</v>
      </c>
      <c r="G22" s="321">
        <f t="shared" si="5"/>
        <v>0</v>
      </c>
      <c r="H22" s="321">
        <f t="shared" si="5"/>
        <v>0</v>
      </c>
      <c r="I22" s="321"/>
      <c r="J22" s="321">
        <f t="shared" si="5"/>
        <v>0</v>
      </c>
      <c r="K22" s="321">
        <f t="shared" si="5"/>
        <v>0</v>
      </c>
      <c r="L22" s="321">
        <f t="shared" si="5"/>
        <v>0</v>
      </c>
      <c r="M22" s="321">
        <f t="shared" si="5"/>
        <v>0</v>
      </c>
      <c r="N22" s="321">
        <f t="shared" si="5"/>
        <v>0</v>
      </c>
      <c r="O22" s="321">
        <f t="shared" si="5"/>
        <v>0</v>
      </c>
      <c r="P22" s="321">
        <f>P23+P24</f>
        <v>0</v>
      </c>
      <c r="Q22" s="321">
        <f t="shared" si="1"/>
        <v>0</v>
      </c>
      <c r="R22" s="321">
        <f>R23+R24</f>
        <v>0</v>
      </c>
    </row>
    <row r="23" spans="1:18" ht="15.75">
      <c r="A23" s="319"/>
      <c r="B23" s="320" t="s">
        <v>69</v>
      </c>
      <c r="C23" s="321" t="s">
        <v>70</v>
      </c>
      <c r="D23" s="321" t="s">
        <v>70</v>
      </c>
      <c r="E23" s="321"/>
      <c r="F23" s="321"/>
      <c r="G23" s="321"/>
      <c r="H23" s="321"/>
      <c r="I23" s="321" t="s">
        <v>70</v>
      </c>
      <c r="J23" s="321"/>
      <c r="K23" s="321"/>
      <c r="L23" s="321"/>
      <c r="M23" s="321"/>
      <c r="N23" s="321"/>
      <c r="O23" s="321"/>
      <c r="P23" s="321"/>
      <c r="Q23" s="321">
        <f t="shared" si="1"/>
        <v>0</v>
      </c>
      <c r="R23" s="321"/>
    </row>
    <row r="24" spans="1:18" ht="15.75">
      <c r="A24" s="319"/>
      <c r="B24" s="320" t="s">
        <v>71</v>
      </c>
      <c r="C24" s="321" t="s">
        <v>70</v>
      </c>
      <c r="D24" s="321" t="s">
        <v>70</v>
      </c>
      <c r="E24" s="321"/>
      <c r="F24" s="321"/>
      <c r="G24" s="321"/>
      <c r="H24" s="321"/>
      <c r="I24" s="321" t="s">
        <v>70</v>
      </c>
      <c r="J24" s="321"/>
      <c r="K24" s="321"/>
      <c r="L24" s="321"/>
      <c r="M24" s="321"/>
      <c r="N24" s="321"/>
      <c r="O24" s="321"/>
      <c r="P24" s="321"/>
      <c r="Q24" s="321">
        <f>F24+K24+P24</f>
        <v>0</v>
      </c>
      <c r="R24" s="321"/>
    </row>
    <row r="25" spans="1:18" ht="31.5">
      <c r="A25" s="319">
        <v>5</v>
      </c>
      <c r="B25" s="320" t="s">
        <v>85</v>
      </c>
      <c r="C25" s="321">
        <f>C10+C13-C16-C19-C22</f>
        <v>0</v>
      </c>
      <c r="D25" s="321">
        <f>D10+D13-D16-D19-D22</f>
        <v>0</v>
      </c>
      <c r="E25" s="321">
        <f>E10+E13-E16-E19-E22</f>
        <v>0</v>
      </c>
      <c r="F25" s="321">
        <f t="shared" ref="F25:Q27" si="6">F10+F13-F16-F19-F22</f>
        <v>0</v>
      </c>
      <c r="G25" s="321">
        <f t="shared" si="6"/>
        <v>0</v>
      </c>
      <c r="H25" s="321">
        <f t="shared" si="6"/>
        <v>0</v>
      </c>
      <c r="I25" s="321">
        <f>I10+I13-I16-I19-I22</f>
        <v>0</v>
      </c>
      <c r="J25" s="321">
        <f t="shared" si="6"/>
        <v>0</v>
      </c>
      <c r="K25" s="321">
        <f t="shared" si="6"/>
        <v>0</v>
      </c>
      <c r="L25" s="321">
        <f t="shared" si="6"/>
        <v>0</v>
      </c>
      <c r="M25" s="321">
        <f t="shared" si="6"/>
        <v>0</v>
      </c>
      <c r="N25" s="321">
        <f t="shared" si="6"/>
        <v>0</v>
      </c>
      <c r="O25" s="321">
        <f t="shared" si="6"/>
        <v>0</v>
      </c>
      <c r="P25" s="321">
        <f t="shared" si="6"/>
        <v>0</v>
      </c>
      <c r="Q25" s="321">
        <f t="shared" si="6"/>
        <v>0</v>
      </c>
      <c r="R25" s="321">
        <f>R10+R13-R16-R19-R22</f>
        <v>0</v>
      </c>
    </row>
    <row r="26" spans="1:18" ht="15.75">
      <c r="A26" s="319"/>
      <c r="B26" s="320" t="s">
        <v>69</v>
      </c>
      <c r="C26" s="321" t="s">
        <v>70</v>
      </c>
      <c r="D26" s="321" t="s">
        <v>70</v>
      </c>
      <c r="E26" s="321">
        <f>E11+E14-E17-E20-E23</f>
        <v>0</v>
      </c>
      <c r="F26" s="321">
        <f t="shared" si="6"/>
        <v>0</v>
      </c>
      <c r="G26" s="321">
        <f t="shared" si="6"/>
        <v>0</v>
      </c>
      <c r="H26" s="321">
        <f t="shared" si="6"/>
        <v>0</v>
      </c>
      <c r="I26" s="321" t="s">
        <v>70</v>
      </c>
      <c r="J26" s="321">
        <f t="shared" si="6"/>
        <v>0</v>
      </c>
      <c r="K26" s="321">
        <f t="shared" si="6"/>
        <v>0</v>
      </c>
      <c r="L26" s="321">
        <f t="shared" si="6"/>
        <v>0</v>
      </c>
      <c r="M26" s="321">
        <f t="shared" si="6"/>
        <v>0</v>
      </c>
      <c r="N26" s="321">
        <f t="shared" si="6"/>
        <v>0</v>
      </c>
      <c r="O26" s="321">
        <f t="shared" si="6"/>
        <v>0</v>
      </c>
      <c r="P26" s="321">
        <f t="shared" si="6"/>
        <v>0</v>
      </c>
      <c r="Q26" s="321">
        <f t="shared" si="6"/>
        <v>0</v>
      </c>
      <c r="R26" s="321">
        <f>R11+R14-R17-R20-R23</f>
        <v>0</v>
      </c>
    </row>
    <row r="27" spans="1:18" ht="15.75">
      <c r="A27" s="319"/>
      <c r="B27" s="320" t="s">
        <v>71</v>
      </c>
      <c r="C27" s="321" t="s">
        <v>70</v>
      </c>
      <c r="D27" s="321" t="s">
        <v>70</v>
      </c>
      <c r="E27" s="321">
        <f>E12+E15-E18-E21-E24</f>
        <v>0</v>
      </c>
      <c r="F27" s="321">
        <f t="shared" si="6"/>
        <v>0</v>
      </c>
      <c r="G27" s="321">
        <f t="shared" si="6"/>
        <v>0</v>
      </c>
      <c r="H27" s="321">
        <f t="shared" si="6"/>
        <v>0</v>
      </c>
      <c r="I27" s="321" t="s">
        <v>70</v>
      </c>
      <c r="J27" s="321">
        <f t="shared" si="6"/>
        <v>0</v>
      </c>
      <c r="K27" s="321">
        <f t="shared" si="6"/>
        <v>0</v>
      </c>
      <c r="L27" s="321">
        <f t="shared" si="6"/>
        <v>0</v>
      </c>
      <c r="M27" s="321">
        <f t="shared" si="6"/>
        <v>0</v>
      </c>
      <c r="N27" s="321">
        <f t="shared" si="6"/>
        <v>0</v>
      </c>
      <c r="O27" s="321">
        <f t="shared" si="6"/>
        <v>0</v>
      </c>
      <c r="P27" s="321">
        <f t="shared" si="6"/>
        <v>0</v>
      </c>
      <c r="Q27" s="321">
        <f t="shared" si="6"/>
        <v>0</v>
      </c>
      <c r="R27" s="321">
        <f>R12+R15-R18-R21-R24</f>
        <v>0</v>
      </c>
    </row>
    <row r="28" spans="1:18" ht="31.5">
      <c r="A28" s="319">
        <v>6</v>
      </c>
      <c r="B28" s="320" t="s">
        <v>76</v>
      </c>
      <c r="C28" s="322">
        <f>C10+C13*4/12-C16*10/12-C19*6/12-C22*60%</f>
        <v>0</v>
      </c>
      <c r="D28" s="322">
        <f>D10+D13*4/12-D16*10/12-D19*6/12-D22*60%</f>
        <v>0</v>
      </c>
      <c r="E28" s="322">
        <f>E10+E13*4/12-E16*10/12-E19*6/12-E22*60%</f>
        <v>0</v>
      </c>
      <c r="F28" s="322">
        <f t="shared" ref="F28:Q30" si="7">F10+F13*4/12-F16*10/12-F19*6/12-F22*60%</f>
        <v>0</v>
      </c>
      <c r="G28" s="322">
        <f t="shared" si="7"/>
        <v>0</v>
      </c>
      <c r="H28" s="322">
        <f>H10+H13*4/12-H16*10/12-H19*6/12-H22*60%</f>
        <v>0</v>
      </c>
      <c r="I28" s="322">
        <f>I10+I13*4/12-I16*10/12-I19*6/12-I22*60%</f>
        <v>0</v>
      </c>
      <c r="J28" s="322">
        <f t="shared" si="7"/>
        <v>0</v>
      </c>
      <c r="K28" s="322">
        <f t="shared" si="7"/>
        <v>0</v>
      </c>
      <c r="L28" s="322">
        <f t="shared" si="7"/>
        <v>0</v>
      </c>
      <c r="M28" s="322">
        <f t="shared" si="7"/>
        <v>0</v>
      </c>
      <c r="N28" s="322">
        <f t="shared" si="7"/>
        <v>0</v>
      </c>
      <c r="O28" s="322">
        <f t="shared" si="7"/>
        <v>0</v>
      </c>
      <c r="P28" s="322">
        <f t="shared" si="7"/>
        <v>0</v>
      </c>
      <c r="Q28" s="322">
        <f t="shared" si="7"/>
        <v>0</v>
      </c>
      <c r="R28" s="322">
        <f>R10+R13*4/12-R16*10/12-R19*6/12-R22*60%</f>
        <v>0</v>
      </c>
    </row>
    <row r="29" spans="1:18" ht="15.75">
      <c r="A29" s="319"/>
      <c r="B29" s="320" t="s">
        <v>69</v>
      </c>
      <c r="C29" s="322" t="s">
        <v>70</v>
      </c>
      <c r="D29" s="322" t="s">
        <v>70</v>
      </c>
      <c r="E29" s="322">
        <f>E11+E14*4/12-E17*10/12-E20*6/12-E23*60%</f>
        <v>0</v>
      </c>
      <c r="F29" s="322">
        <f t="shared" si="7"/>
        <v>0</v>
      </c>
      <c r="G29" s="322">
        <f>G11+G14*4/12-G17*10/12-G20*6/12-G23*60%</f>
        <v>0</v>
      </c>
      <c r="H29" s="322">
        <f t="shared" si="7"/>
        <v>0</v>
      </c>
      <c r="I29" s="322" t="s">
        <v>70</v>
      </c>
      <c r="J29" s="322">
        <f t="shared" si="7"/>
        <v>0</v>
      </c>
      <c r="K29" s="322">
        <f t="shared" si="7"/>
        <v>0</v>
      </c>
      <c r="L29" s="322">
        <f t="shared" si="7"/>
        <v>0</v>
      </c>
      <c r="M29" s="322">
        <f t="shared" si="7"/>
        <v>0</v>
      </c>
      <c r="N29" s="322">
        <f t="shared" si="7"/>
        <v>0</v>
      </c>
      <c r="O29" s="322">
        <f t="shared" si="7"/>
        <v>0</v>
      </c>
      <c r="P29" s="322">
        <f t="shared" si="7"/>
        <v>0</v>
      </c>
      <c r="Q29" s="322">
        <f t="shared" si="7"/>
        <v>0</v>
      </c>
      <c r="R29" s="322">
        <f>R11+R14*4/12-R17*10/12-R20*6/12-R23*60%</f>
        <v>0</v>
      </c>
    </row>
    <row r="30" spans="1:18" ht="15.75">
      <c r="A30" s="319"/>
      <c r="B30" s="320" t="s">
        <v>71</v>
      </c>
      <c r="C30" s="322" t="s">
        <v>70</v>
      </c>
      <c r="D30" s="322" t="s">
        <v>70</v>
      </c>
      <c r="E30" s="322">
        <f>E12+E15*4/12-E18*10/12-E21*6/12-E24*60%</f>
        <v>0</v>
      </c>
      <c r="F30" s="322">
        <f t="shared" si="7"/>
        <v>0</v>
      </c>
      <c r="G30" s="322">
        <f t="shared" si="7"/>
        <v>0</v>
      </c>
      <c r="H30" s="322">
        <f t="shared" si="7"/>
        <v>0</v>
      </c>
      <c r="I30" s="322" t="s">
        <v>70</v>
      </c>
      <c r="J30" s="322">
        <f t="shared" si="7"/>
        <v>0</v>
      </c>
      <c r="K30" s="322">
        <f t="shared" si="7"/>
        <v>0</v>
      </c>
      <c r="L30" s="322">
        <f t="shared" si="7"/>
        <v>0</v>
      </c>
      <c r="M30" s="322">
        <f t="shared" si="7"/>
        <v>0</v>
      </c>
      <c r="N30" s="322">
        <f t="shared" si="7"/>
        <v>0</v>
      </c>
      <c r="O30" s="322">
        <f t="shared" si="7"/>
        <v>0</v>
      </c>
      <c r="P30" s="322">
        <f t="shared" si="7"/>
        <v>0</v>
      </c>
      <c r="Q30" s="322">
        <f t="shared" si="7"/>
        <v>0</v>
      </c>
      <c r="R30" s="322">
        <f>R12+R15*4/12-R18*10/12-R21*6/12-R24*60%</f>
        <v>0</v>
      </c>
    </row>
    <row r="31" spans="1:18" ht="31.5">
      <c r="A31" s="319">
        <v>7</v>
      </c>
      <c r="B31" s="320" t="s">
        <v>87</v>
      </c>
      <c r="C31" s="321"/>
      <c r="D31" s="321" t="s">
        <v>70</v>
      </c>
      <c r="E31" s="321" t="s">
        <v>70</v>
      </c>
      <c r="F31" s="321" t="s">
        <v>70</v>
      </c>
      <c r="G31" s="321" t="s">
        <v>70</v>
      </c>
      <c r="H31" s="321" t="s">
        <v>70</v>
      </c>
      <c r="I31" s="321" t="s">
        <v>70</v>
      </c>
      <c r="J31" s="321" t="s">
        <v>70</v>
      </c>
      <c r="K31" s="321" t="s">
        <v>70</v>
      </c>
      <c r="L31" s="321" t="s">
        <v>70</v>
      </c>
      <c r="M31" s="321" t="s">
        <v>70</v>
      </c>
      <c r="N31" s="321" t="s">
        <v>70</v>
      </c>
      <c r="O31" s="321" t="s">
        <v>70</v>
      </c>
      <c r="P31" s="321" t="s">
        <v>70</v>
      </c>
      <c r="Q31" s="321" t="s">
        <v>70</v>
      </c>
      <c r="R31" s="321" t="s">
        <v>70</v>
      </c>
    </row>
    <row r="32" spans="1:18" ht="15.75">
      <c r="A32" s="319">
        <v>8</v>
      </c>
      <c r="B32" s="320" t="s">
        <v>78</v>
      </c>
      <c r="C32" s="321"/>
      <c r="D32" s="321" t="s">
        <v>70</v>
      </c>
      <c r="E32" s="321" t="s">
        <v>70</v>
      </c>
      <c r="F32" s="321" t="s">
        <v>70</v>
      </c>
      <c r="G32" s="321" t="s">
        <v>70</v>
      </c>
      <c r="H32" s="321" t="s">
        <v>70</v>
      </c>
      <c r="I32" s="321" t="s">
        <v>70</v>
      </c>
      <c r="J32" s="321" t="s">
        <v>70</v>
      </c>
      <c r="K32" s="321" t="s">
        <v>70</v>
      </c>
      <c r="L32" s="321" t="s">
        <v>70</v>
      </c>
      <c r="M32" s="321" t="s">
        <v>70</v>
      </c>
      <c r="N32" s="321" t="s">
        <v>70</v>
      </c>
      <c r="O32" s="321" t="s">
        <v>70</v>
      </c>
      <c r="P32" s="321" t="s">
        <v>70</v>
      </c>
      <c r="Q32" s="321" t="s">
        <v>70</v>
      </c>
      <c r="R32" s="321" t="s">
        <v>70</v>
      </c>
    </row>
    <row r="33" spans="1:18" ht="15.75">
      <c r="A33" s="319">
        <v>9</v>
      </c>
      <c r="B33" s="320" t="s">
        <v>79</v>
      </c>
      <c r="C33" s="321"/>
      <c r="D33" s="321" t="s">
        <v>70</v>
      </c>
      <c r="E33" s="321" t="s">
        <v>70</v>
      </c>
      <c r="F33" s="321" t="s">
        <v>70</v>
      </c>
      <c r="G33" s="321" t="s">
        <v>70</v>
      </c>
      <c r="H33" s="321" t="s">
        <v>70</v>
      </c>
      <c r="I33" s="321" t="s">
        <v>70</v>
      </c>
      <c r="J33" s="321" t="s">
        <v>70</v>
      </c>
      <c r="K33" s="321" t="s">
        <v>70</v>
      </c>
      <c r="L33" s="321" t="s">
        <v>70</v>
      </c>
      <c r="M33" s="321" t="s">
        <v>70</v>
      </c>
      <c r="N33" s="321" t="s">
        <v>70</v>
      </c>
      <c r="O33" s="321" t="s">
        <v>70</v>
      </c>
      <c r="P33" s="321" t="s">
        <v>70</v>
      </c>
      <c r="Q33" s="321" t="s">
        <v>70</v>
      </c>
      <c r="R33" s="321" t="s">
        <v>70</v>
      </c>
    </row>
    <row r="34" spans="1:18" ht="31.5">
      <c r="A34" s="319">
        <v>10</v>
      </c>
      <c r="B34" s="320" t="s">
        <v>88</v>
      </c>
      <c r="C34" s="321">
        <f>C31+C32-C33</f>
        <v>0</v>
      </c>
      <c r="D34" s="321" t="s">
        <v>70</v>
      </c>
      <c r="E34" s="321" t="s">
        <v>70</v>
      </c>
      <c r="F34" s="321" t="s">
        <v>70</v>
      </c>
      <c r="G34" s="321" t="s">
        <v>70</v>
      </c>
      <c r="H34" s="321" t="s">
        <v>70</v>
      </c>
      <c r="I34" s="321" t="s">
        <v>70</v>
      </c>
      <c r="J34" s="321" t="s">
        <v>70</v>
      </c>
      <c r="K34" s="321" t="s">
        <v>70</v>
      </c>
      <c r="L34" s="321" t="s">
        <v>70</v>
      </c>
      <c r="M34" s="321" t="s">
        <v>70</v>
      </c>
      <c r="N34" s="321" t="s">
        <v>70</v>
      </c>
      <c r="O34" s="321" t="s">
        <v>70</v>
      </c>
      <c r="P34" s="321" t="s">
        <v>70</v>
      </c>
      <c r="Q34" s="321" t="s">
        <v>70</v>
      </c>
      <c r="R34" s="321" t="s">
        <v>70</v>
      </c>
    </row>
    <row r="35" spans="1:18" ht="31.5">
      <c r="A35" s="319">
        <v>11</v>
      </c>
      <c r="B35" s="320" t="s">
        <v>80</v>
      </c>
      <c r="C35" s="321">
        <f>C31+C32*4/12-C33*6/12</f>
        <v>0</v>
      </c>
      <c r="D35" s="321" t="s">
        <v>70</v>
      </c>
      <c r="E35" s="321" t="s">
        <v>70</v>
      </c>
      <c r="F35" s="321" t="s">
        <v>70</v>
      </c>
      <c r="G35" s="321" t="s">
        <v>70</v>
      </c>
      <c r="H35" s="321" t="s">
        <v>70</v>
      </c>
      <c r="I35" s="321" t="s">
        <v>70</v>
      </c>
      <c r="J35" s="321" t="s">
        <v>70</v>
      </c>
      <c r="K35" s="321" t="s">
        <v>70</v>
      </c>
      <c r="L35" s="321" t="s">
        <v>70</v>
      </c>
      <c r="M35" s="321" t="s">
        <v>70</v>
      </c>
      <c r="N35" s="321" t="s">
        <v>70</v>
      </c>
      <c r="O35" s="321" t="s">
        <v>70</v>
      </c>
      <c r="P35" s="321" t="s">
        <v>70</v>
      </c>
      <c r="Q35" s="321" t="s">
        <v>70</v>
      </c>
      <c r="R35" s="321" t="s">
        <v>70</v>
      </c>
    </row>
    <row r="36" spans="1:18" ht="15.75">
      <c r="A36" s="319">
        <v>12</v>
      </c>
      <c r="B36" s="320" t="s">
        <v>81</v>
      </c>
      <c r="C36" s="321" t="e">
        <f>C28/C35</f>
        <v>#DIV/0!</v>
      </c>
      <c r="D36" s="321" t="s">
        <v>70</v>
      </c>
      <c r="E36" s="321" t="s">
        <v>70</v>
      </c>
      <c r="F36" s="321" t="s">
        <v>70</v>
      </c>
      <c r="G36" s="321" t="s">
        <v>70</v>
      </c>
      <c r="H36" s="321" t="s">
        <v>70</v>
      </c>
      <c r="I36" s="321" t="s">
        <v>70</v>
      </c>
      <c r="J36" s="321" t="s">
        <v>70</v>
      </c>
      <c r="K36" s="321" t="s">
        <v>70</v>
      </c>
      <c r="L36" s="321" t="s">
        <v>70</v>
      </c>
      <c r="M36" s="321" t="s">
        <v>70</v>
      </c>
      <c r="N36" s="321" t="s">
        <v>70</v>
      </c>
      <c r="O36" s="321" t="s">
        <v>70</v>
      </c>
      <c r="P36" s="321" t="s">
        <v>70</v>
      </c>
      <c r="Q36" s="321" t="s">
        <v>70</v>
      </c>
      <c r="R36" s="321" t="s">
        <v>70</v>
      </c>
    </row>
    <row r="37" spans="1:18" ht="15.75">
      <c r="A37" s="323"/>
      <c r="B37" s="324"/>
      <c r="C37" s="324"/>
      <c r="D37" s="324"/>
      <c r="E37" s="324"/>
      <c r="F37" s="324"/>
      <c r="G37" s="324"/>
      <c r="H37" s="324"/>
      <c r="I37" s="324"/>
      <c r="J37" s="324"/>
      <c r="K37" s="324"/>
      <c r="L37" s="324"/>
      <c r="M37" s="324"/>
      <c r="N37" s="324"/>
      <c r="O37" s="324"/>
      <c r="P37" s="324"/>
      <c r="Q37" s="324"/>
      <c r="R37" s="324"/>
    </row>
    <row r="38" spans="1:18" ht="15.75">
      <c r="A38" s="325" t="s">
        <v>82</v>
      </c>
      <c r="B38" s="326" t="s">
        <v>83</v>
      </c>
      <c r="C38" s="324"/>
      <c r="D38" s="324"/>
      <c r="E38" s="324"/>
      <c r="F38" s="324"/>
      <c r="G38" s="324"/>
      <c r="H38" s="324"/>
      <c r="I38" s="324"/>
      <c r="J38" s="324"/>
      <c r="K38" s="324"/>
      <c r="L38" s="324"/>
      <c r="M38" s="324"/>
      <c r="N38" s="324"/>
      <c r="O38" s="324"/>
      <c r="P38" s="324"/>
      <c r="Q38" s="324"/>
      <c r="R38" s="324"/>
    </row>
    <row r="39" spans="1:18" ht="15.75">
      <c r="A39" s="323"/>
      <c r="B39" s="324"/>
      <c r="C39" s="324"/>
      <c r="D39" s="324"/>
      <c r="E39" s="324"/>
      <c r="F39" s="324"/>
      <c r="G39" s="324"/>
      <c r="H39" s="324"/>
      <c r="I39" s="324"/>
      <c r="J39" s="324"/>
      <c r="K39" s="324"/>
      <c r="L39" s="324"/>
      <c r="M39" s="324"/>
      <c r="N39" s="324"/>
      <c r="O39" s="324"/>
      <c r="P39" s="324"/>
      <c r="Q39" s="324"/>
      <c r="R39" s="324"/>
    </row>
    <row r="40" spans="1:18" s="207" customFormat="1" ht="15.75">
      <c r="B40" s="234" t="s">
        <v>1077</v>
      </c>
      <c r="C40" s="311"/>
      <c r="D40" s="311"/>
      <c r="E40" s="311"/>
      <c r="F40" s="311"/>
      <c r="G40" s="511"/>
      <c r="H40" s="311"/>
      <c r="I40" s="311"/>
      <c r="K40" s="311"/>
      <c r="L40" s="507"/>
      <c r="O40" s="311"/>
      <c r="P40" s="507"/>
    </row>
    <row r="41" spans="1:18" s="207" customFormat="1" ht="31.5" customHeight="1">
      <c r="B41" s="221"/>
      <c r="C41" s="217"/>
      <c r="E41" s="217"/>
      <c r="F41" s="510"/>
      <c r="G41" s="511"/>
      <c r="H41" s="511"/>
      <c r="I41" s="510"/>
      <c r="K41" s="510"/>
      <c r="L41" s="523" t="s">
        <v>1078</v>
      </c>
      <c r="M41" s="527"/>
      <c r="N41" s="527"/>
      <c r="O41" s="524"/>
      <c r="P41" s="524" t="s">
        <v>1079</v>
      </c>
    </row>
    <row r="42" spans="1:18" s="207" customFormat="1" ht="15.75">
      <c r="B42" s="234" t="s">
        <v>1076</v>
      </c>
      <c r="C42" s="311"/>
      <c r="D42" s="311"/>
      <c r="E42" s="311"/>
      <c r="F42" s="311"/>
      <c r="G42" s="511"/>
      <c r="H42" s="311"/>
      <c r="I42" s="311"/>
      <c r="K42" s="311"/>
      <c r="L42" s="529"/>
      <c r="M42" s="527"/>
      <c r="N42" s="527"/>
      <c r="O42" s="528"/>
      <c r="P42" s="529"/>
    </row>
    <row r="43" spans="1:18" s="207" customFormat="1" ht="31.5" customHeight="1">
      <c r="B43" s="221"/>
      <c r="C43" s="217"/>
      <c r="E43" s="217"/>
      <c r="F43" s="510"/>
      <c r="G43" s="511"/>
      <c r="H43" s="511"/>
      <c r="I43" s="510"/>
      <c r="K43" s="510"/>
      <c r="L43" s="523" t="s">
        <v>1078</v>
      </c>
      <c r="M43" s="527"/>
      <c r="N43" s="527"/>
      <c r="O43" s="524"/>
      <c r="P43" s="524" t="s">
        <v>1079</v>
      </c>
    </row>
    <row r="47" spans="1:18">
      <c r="B47" s="4" t="s">
        <v>77</v>
      </c>
    </row>
  </sheetData>
  <customSheetViews>
    <customSheetView guid="{CA0FB9E2-E541-4C74-BCFE-D75491869B36}" fitToPage="1" topLeftCell="A7">
      <selection activeCell="A40" sqref="A40:IV42"/>
      <pageMargins left="0.70866141732283472" right="0.70866141732283472" top="0.74803149606299213" bottom="0.74803149606299213" header="0.31496062992125984" footer="0.31496062992125984"/>
      <pageSetup paperSize="9" scale="51" orientation="landscape" r:id="rId1"/>
    </customSheetView>
    <customSheetView guid="{F10E3D8B-5892-420A-B023-68C6496D556B}" fitToPage="1">
      <selection activeCell="C5" sqref="C5:Q8"/>
      <pageMargins left="0.70866141732283472" right="0.70866141732283472" top="0.74803149606299213" bottom="0.74803149606299213" header="0.31496062992125984" footer="0.31496062992125984"/>
      <pageSetup paperSize="9" scale="54" orientation="landscape" r:id="rId2"/>
    </customSheetView>
    <customSheetView guid="{FE7E58EF-FECC-4DF6-BB75-BA97138CB219}" fitToPage="1">
      <selection activeCell="C5" sqref="C5:Q8"/>
      <pageMargins left="0.70866141732283472" right="0.70866141732283472" top="0.74803149606299213" bottom="0.74803149606299213" header="0.31496062992125984" footer="0.31496062992125984"/>
      <pageSetup paperSize="9" scale="54" orientation="landscape" r:id="rId3"/>
    </customSheetView>
    <customSheetView guid="{43136B00-66C6-4289-99D3-5EF20611F834}" showPageBreaks="1" fitToPage="1">
      <selection activeCell="A40" sqref="A40:IV43"/>
      <pageMargins left="0.70866141732283472" right="0.70866141732283472" top="0.74803149606299213" bottom="0.74803149606299213" header="0.31496062992125984" footer="0.31496062992125984"/>
      <pageSetup paperSize="9" scale="46" orientation="landscape" r:id="rId4"/>
    </customSheetView>
    <customSheetView guid="{22820B9F-10DE-4629-AF3D-4AF98A9BCEDB}" fitToPage="1" topLeftCell="A19">
      <selection activeCell="A40" sqref="A40:IV42"/>
      <pageMargins left="0.70866141732283472" right="0.70866141732283472" top="0.74803149606299213" bottom="0.74803149606299213" header="0.31496062992125984" footer="0.31496062992125984"/>
      <pageSetup paperSize="9" scale="51" orientation="landscape" r:id="rId5"/>
    </customSheetView>
  </customSheetViews>
  <mergeCells count="20">
    <mergeCell ref="A3:R3"/>
    <mergeCell ref="O7:O8"/>
    <mergeCell ref="A4:Q4"/>
    <mergeCell ref="A5:A8"/>
    <mergeCell ref="B5:B8"/>
    <mergeCell ref="C5:Q5"/>
    <mergeCell ref="C6:C8"/>
    <mergeCell ref="D6:H6"/>
    <mergeCell ref="I6:M6"/>
    <mergeCell ref="P7:P8"/>
    <mergeCell ref="R5:R8"/>
    <mergeCell ref="N6:P6"/>
    <mergeCell ref="Q6:Q8"/>
    <mergeCell ref="D7:D8"/>
    <mergeCell ref="E7:F7"/>
    <mergeCell ref="G7:H7"/>
    <mergeCell ref="I7:I8"/>
    <mergeCell ref="J7:K7"/>
    <mergeCell ref="L7:M7"/>
    <mergeCell ref="N7:N8"/>
  </mergeCells>
  <phoneticPr fontId="116" type="noConversion"/>
  <pageMargins left="0.70866141732283472" right="0.70866141732283472" top="0.74803149606299213" bottom="0.74803149606299213" header="0.31496062992125984" footer="0.31496062992125984"/>
  <pageSetup paperSize="9" scale="46" orientation="landscape" r:id="rId6"/>
</worksheet>
</file>

<file path=xl/worksheets/sheet86.xml><?xml version="1.0" encoding="utf-8"?>
<worksheet xmlns="http://schemas.openxmlformats.org/spreadsheetml/2006/main" xmlns:r="http://schemas.openxmlformats.org/officeDocument/2006/relationships">
  <sheetPr codeName="Лист27">
    <tabColor theme="0" tint="-0.499984740745262"/>
    <pageSetUpPr fitToPage="1"/>
  </sheetPr>
  <dimension ref="A1:P44"/>
  <sheetViews>
    <sheetView zoomScaleNormal="100" workbookViewId="0">
      <selection activeCell="I33" sqref="I33"/>
    </sheetView>
  </sheetViews>
  <sheetFormatPr defaultColWidth="3.42578125" defaultRowHeight="15"/>
  <cols>
    <col min="1" max="1" width="3.42578125" style="25" customWidth="1"/>
    <col min="2" max="2" width="31.28515625" style="4" customWidth="1"/>
    <col min="3" max="3" width="10" style="4" customWidth="1"/>
    <col min="4" max="4" width="17.42578125" style="4" customWidth="1"/>
    <col min="5" max="5" width="7.140625" style="4" customWidth="1"/>
    <col min="6" max="6" width="16" style="4" customWidth="1"/>
    <col min="7" max="7" width="27.42578125" style="4" customWidth="1"/>
    <col min="8" max="255" width="9.140625" style="4" customWidth="1"/>
    <col min="256" max="16384" width="3.42578125" style="4"/>
  </cols>
  <sheetData>
    <row r="1" spans="1:7" ht="15.75">
      <c r="A1" s="323"/>
      <c r="B1" s="324"/>
      <c r="C1" s="324"/>
      <c r="D1" s="324"/>
      <c r="E1" s="324"/>
      <c r="F1" s="324"/>
      <c r="G1" s="209" t="s">
        <v>1794</v>
      </c>
    </row>
    <row r="2" spans="1:7" ht="15.75">
      <c r="A2" s="323"/>
      <c r="B2" s="324"/>
      <c r="C2" s="324"/>
      <c r="D2" s="324"/>
      <c r="E2" s="324"/>
      <c r="F2" s="324"/>
      <c r="G2" s="209"/>
    </row>
    <row r="3" spans="1:7" ht="23.25" customHeight="1">
      <c r="A3" s="2049" t="s">
        <v>1807</v>
      </c>
      <c r="B3" s="2049"/>
      <c r="C3" s="2049"/>
      <c r="D3" s="2049"/>
      <c r="E3" s="2049"/>
      <c r="F3" s="2049"/>
      <c r="G3" s="2049"/>
    </row>
    <row r="4" spans="1:7" ht="15.75">
      <c r="A4" s="422"/>
      <c r="B4" s="324"/>
      <c r="C4" s="324"/>
      <c r="D4" s="324"/>
      <c r="E4" s="324"/>
      <c r="F4" s="324"/>
      <c r="G4" s="324"/>
    </row>
    <row r="5" spans="1:7" ht="45.75" customHeight="1">
      <c r="A5" s="1676"/>
      <c r="B5" s="2047"/>
      <c r="C5" s="2050" t="s">
        <v>1319</v>
      </c>
      <c r="D5" s="1838" t="s">
        <v>1809</v>
      </c>
      <c r="E5" s="1676" t="s">
        <v>1317</v>
      </c>
      <c r="F5" s="1676"/>
      <c r="G5" s="2048" t="s">
        <v>34</v>
      </c>
    </row>
    <row r="6" spans="1:7" ht="49.5" customHeight="1">
      <c r="A6" s="1676"/>
      <c r="B6" s="2047"/>
      <c r="C6" s="2050"/>
      <c r="D6" s="1838"/>
      <c r="E6" s="318" t="s">
        <v>66</v>
      </c>
      <c r="F6" s="318" t="s">
        <v>67</v>
      </c>
      <c r="G6" s="2048"/>
    </row>
    <row r="7" spans="1:7" s="80" customFormat="1" ht="15.75">
      <c r="A7" s="335">
        <v>1</v>
      </c>
      <c r="B7" s="317">
        <v>2</v>
      </c>
      <c r="C7" s="421" t="s">
        <v>1810</v>
      </c>
      <c r="D7" s="421">
        <v>4</v>
      </c>
      <c r="E7" s="335">
        <v>5</v>
      </c>
      <c r="F7" s="335">
        <v>6</v>
      </c>
      <c r="G7" s="335">
        <v>7</v>
      </c>
    </row>
    <row r="8" spans="1:7" ht="31.5">
      <c r="A8" s="319">
        <v>1</v>
      </c>
      <c r="B8" s="320" t="s">
        <v>86</v>
      </c>
      <c r="C8" s="321">
        <f>D8+E8+G8</f>
        <v>0</v>
      </c>
      <c r="D8" s="321"/>
      <c r="E8" s="321"/>
      <c r="F8" s="321"/>
      <c r="G8" s="321">
        <f>G9+G10</f>
        <v>0</v>
      </c>
    </row>
    <row r="9" spans="1:7" ht="15.75">
      <c r="A9" s="319"/>
      <c r="B9" s="320" t="s">
        <v>69</v>
      </c>
      <c r="C9" s="321" t="s">
        <v>70</v>
      </c>
      <c r="D9" s="321" t="s">
        <v>70</v>
      </c>
      <c r="E9" s="321" t="s">
        <v>70</v>
      </c>
      <c r="F9" s="321" t="s">
        <v>70</v>
      </c>
      <c r="G9" s="321"/>
    </row>
    <row r="10" spans="1:7" ht="15.75">
      <c r="A10" s="319"/>
      <c r="B10" s="320" t="s">
        <v>71</v>
      </c>
      <c r="C10" s="321" t="s">
        <v>70</v>
      </c>
      <c r="D10" s="321" t="s">
        <v>70</v>
      </c>
      <c r="E10" s="321" t="s">
        <v>70</v>
      </c>
      <c r="F10" s="321" t="s">
        <v>70</v>
      </c>
      <c r="G10" s="321"/>
    </row>
    <row r="11" spans="1:7" ht="15.75">
      <c r="A11" s="319">
        <v>2</v>
      </c>
      <c r="B11" s="320" t="s">
        <v>72</v>
      </c>
      <c r="C11" s="321">
        <f>D11+E11+G11</f>
        <v>0</v>
      </c>
      <c r="D11" s="321"/>
      <c r="E11" s="321"/>
      <c r="F11" s="321"/>
      <c r="G11" s="321">
        <f>G12+G13</f>
        <v>0</v>
      </c>
    </row>
    <row r="12" spans="1:7" ht="15.75">
      <c r="A12" s="319"/>
      <c r="B12" s="320" t="s">
        <v>69</v>
      </c>
      <c r="C12" s="321" t="s">
        <v>70</v>
      </c>
      <c r="D12" s="321" t="s">
        <v>70</v>
      </c>
      <c r="E12" s="321" t="s">
        <v>70</v>
      </c>
      <c r="F12" s="321" t="s">
        <v>70</v>
      </c>
      <c r="G12" s="321"/>
    </row>
    <row r="13" spans="1:7" ht="15.75">
      <c r="A13" s="319"/>
      <c r="B13" s="320" t="s">
        <v>71</v>
      </c>
      <c r="C13" s="321" t="s">
        <v>70</v>
      </c>
      <c r="D13" s="321" t="s">
        <v>70</v>
      </c>
      <c r="E13" s="321" t="s">
        <v>70</v>
      </c>
      <c r="F13" s="321" t="s">
        <v>70</v>
      </c>
      <c r="G13" s="321"/>
    </row>
    <row r="14" spans="1:7" ht="15.75">
      <c r="A14" s="319">
        <v>3</v>
      </c>
      <c r="B14" s="320" t="s">
        <v>73</v>
      </c>
      <c r="C14" s="321">
        <f>D14+E14+G14</f>
        <v>0</v>
      </c>
      <c r="D14" s="321"/>
      <c r="E14" s="321"/>
      <c r="F14" s="321"/>
      <c r="G14" s="321">
        <f>G15+G16</f>
        <v>0</v>
      </c>
    </row>
    <row r="15" spans="1:7" ht="15.75">
      <c r="A15" s="319"/>
      <c r="B15" s="320" t="s">
        <v>69</v>
      </c>
      <c r="C15" s="321" t="s">
        <v>70</v>
      </c>
      <c r="D15" s="321" t="s">
        <v>70</v>
      </c>
      <c r="E15" s="321" t="s">
        <v>70</v>
      </c>
      <c r="F15" s="321" t="s">
        <v>70</v>
      </c>
      <c r="G15" s="321"/>
    </row>
    <row r="16" spans="1:7" ht="15.75">
      <c r="A16" s="319"/>
      <c r="B16" s="320" t="s">
        <v>71</v>
      </c>
      <c r="C16" s="321" t="s">
        <v>70</v>
      </c>
      <c r="D16" s="321" t="s">
        <v>70</v>
      </c>
      <c r="E16" s="321" t="s">
        <v>70</v>
      </c>
      <c r="F16" s="321" t="s">
        <v>70</v>
      </c>
      <c r="G16" s="321"/>
    </row>
    <row r="17" spans="1:7" ht="15.75">
      <c r="A17" s="319"/>
      <c r="B17" s="320" t="s">
        <v>74</v>
      </c>
      <c r="C17" s="321">
        <f>D17+E17+G17</f>
        <v>0</v>
      </c>
      <c r="D17" s="321"/>
      <c r="E17" s="321"/>
      <c r="F17" s="321"/>
      <c r="G17" s="321">
        <f>G18+G19</f>
        <v>0</v>
      </c>
    </row>
    <row r="18" spans="1:7" ht="15.75">
      <c r="A18" s="319"/>
      <c r="B18" s="320" t="s">
        <v>69</v>
      </c>
      <c r="C18" s="321" t="s">
        <v>70</v>
      </c>
      <c r="D18" s="321" t="s">
        <v>70</v>
      </c>
      <c r="E18" s="321" t="s">
        <v>70</v>
      </c>
      <c r="F18" s="321" t="s">
        <v>70</v>
      </c>
      <c r="G18" s="321"/>
    </row>
    <row r="19" spans="1:7" ht="15.75">
      <c r="A19" s="319"/>
      <c r="B19" s="320" t="s">
        <v>71</v>
      </c>
      <c r="C19" s="321" t="s">
        <v>70</v>
      </c>
      <c r="D19" s="321" t="s">
        <v>70</v>
      </c>
      <c r="E19" s="321" t="s">
        <v>70</v>
      </c>
      <c r="F19" s="321" t="s">
        <v>70</v>
      </c>
      <c r="G19" s="321"/>
    </row>
    <row r="20" spans="1:7" ht="15.75">
      <c r="A20" s="319">
        <v>4</v>
      </c>
      <c r="B20" s="320" t="s">
        <v>75</v>
      </c>
      <c r="C20" s="321">
        <f>D20+E20+G20</f>
        <v>0</v>
      </c>
      <c r="D20" s="321"/>
      <c r="E20" s="321"/>
      <c r="F20" s="321"/>
      <c r="G20" s="321">
        <f>G21+G22</f>
        <v>0</v>
      </c>
    </row>
    <row r="21" spans="1:7" ht="15.75">
      <c r="A21" s="319"/>
      <c r="B21" s="320" t="s">
        <v>69</v>
      </c>
      <c r="C21" s="321" t="s">
        <v>70</v>
      </c>
      <c r="D21" s="321" t="s">
        <v>70</v>
      </c>
      <c r="E21" s="321" t="s">
        <v>70</v>
      </c>
      <c r="F21" s="321" t="s">
        <v>70</v>
      </c>
      <c r="G21" s="321"/>
    </row>
    <row r="22" spans="1:7" ht="15.75">
      <c r="A22" s="319"/>
      <c r="B22" s="320" t="s">
        <v>71</v>
      </c>
      <c r="C22" s="321" t="s">
        <v>70</v>
      </c>
      <c r="D22" s="321" t="s">
        <v>70</v>
      </c>
      <c r="E22" s="321" t="s">
        <v>70</v>
      </c>
      <c r="F22" s="321" t="s">
        <v>70</v>
      </c>
      <c r="G22" s="321"/>
    </row>
    <row r="23" spans="1:7" ht="31.5">
      <c r="A23" s="319">
        <v>5</v>
      </c>
      <c r="B23" s="320" t="s">
        <v>85</v>
      </c>
      <c r="C23" s="321">
        <f>C8+C11-C14-C17-C20</f>
        <v>0</v>
      </c>
      <c r="D23" s="321">
        <f>D8+D11-D14-D17-D20</f>
        <v>0</v>
      </c>
      <c r="E23" s="321">
        <f>E8+E11-E14-E17-E20</f>
        <v>0</v>
      </c>
      <c r="F23" s="321">
        <f>F8+F11-F14-F17-F20</f>
        <v>0</v>
      </c>
      <c r="G23" s="321">
        <f>G8+G11-G14-G17-G20</f>
        <v>0</v>
      </c>
    </row>
    <row r="24" spans="1:7" ht="15.75">
      <c r="A24" s="319"/>
      <c r="B24" s="320" t="s">
        <v>69</v>
      </c>
      <c r="C24" s="321" t="s">
        <v>70</v>
      </c>
      <c r="D24" s="321" t="s">
        <v>70</v>
      </c>
      <c r="E24" s="321" t="s">
        <v>70</v>
      </c>
      <c r="F24" s="321" t="s">
        <v>70</v>
      </c>
      <c r="G24" s="321">
        <f>G9+G12-G15-G18-G21</f>
        <v>0</v>
      </c>
    </row>
    <row r="25" spans="1:7" ht="15.75">
      <c r="A25" s="319"/>
      <c r="B25" s="320" t="s">
        <v>71</v>
      </c>
      <c r="C25" s="321" t="s">
        <v>70</v>
      </c>
      <c r="D25" s="321" t="s">
        <v>70</v>
      </c>
      <c r="E25" s="321" t="s">
        <v>70</v>
      </c>
      <c r="F25" s="321" t="s">
        <v>70</v>
      </c>
      <c r="G25" s="321">
        <f>G10+G13-G16-G19-G22</f>
        <v>0</v>
      </c>
    </row>
    <row r="26" spans="1:7" ht="31.5">
      <c r="A26" s="319">
        <v>6</v>
      </c>
      <c r="B26" s="320" t="s">
        <v>76</v>
      </c>
      <c r="C26" s="321">
        <f>C8+C11*4/12-C14*10/12-C17*6/12-C20*60%</f>
        <v>0</v>
      </c>
      <c r="D26" s="321">
        <f>D8+D11*4/12-D14*10/12-D17*6/12-D20*60%</f>
        <v>0</v>
      </c>
      <c r="E26" s="321">
        <f>E8+E11*4/12-E14*10/12-E17*6/12-E20*60%</f>
        <v>0</v>
      </c>
      <c r="F26" s="321">
        <f>F8+F11*4/12-F14*10/12-F17*6/12-F20*60%</f>
        <v>0</v>
      </c>
      <c r="G26" s="321">
        <f>G8+G11*4/12-G14*10/12-G17*6/12-G20*60%</f>
        <v>0</v>
      </c>
    </row>
    <row r="27" spans="1:7" ht="15.75">
      <c r="A27" s="319"/>
      <c r="B27" s="320" t="s">
        <v>69</v>
      </c>
      <c r="C27" s="321" t="s">
        <v>70</v>
      </c>
      <c r="D27" s="321" t="s">
        <v>70</v>
      </c>
      <c r="E27" s="321" t="s">
        <v>70</v>
      </c>
      <c r="F27" s="321" t="s">
        <v>70</v>
      </c>
      <c r="G27" s="321">
        <f>G9+G12*4/12-G15*10/12-G18*6/12-G21*60%</f>
        <v>0</v>
      </c>
    </row>
    <row r="28" spans="1:7" ht="15.75">
      <c r="A28" s="319"/>
      <c r="B28" s="320" t="s">
        <v>71</v>
      </c>
      <c r="C28" s="321" t="s">
        <v>70</v>
      </c>
      <c r="D28" s="321" t="s">
        <v>70</v>
      </c>
      <c r="E28" s="321" t="s">
        <v>70</v>
      </c>
      <c r="F28" s="321" t="s">
        <v>70</v>
      </c>
      <c r="G28" s="321">
        <f>G10+G13*4/12-G16*10/12-G19*6/12-G22*60%</f>
        <v>0</v>
      </c>
    </row>
    <row r="29" spans="1:7" ht="31.5">
      <c r="A29" s="319">
        <v>7</v>
      </c>
      <c r="B29" s="320" t="s">
        <v>87</v>
      </c>
      <c r="C29" s="321" t="s">
        <v>70</v>
      </c>
      <c r="D29" s="321" t="s">
        <v>70</v>
      </c>
      <c r="E29" s="321" t="s">
        <v>70</v>
      </c>
      <c r="F29" s="321" t="s">
        <v>70</v>
      </c>
      <c r="G29" s="321" t="s">
        <v>70</v>
      </c>
    </row>
    <row r="30" spans="1:7" ht="15.75">
      <c r="A30" s="319">
        <v>8</v>
      </c>
      <c r="B30" s="320" t="s">
        <v>78</v>
      </c>
      <c r="C30" s="321" t="s">
        <v>70</v>
      </c>
      <c r="D30" s="321" t="s">
        <v>70</v>
      </c>
      <c r="E30" s="321" t="s">
        <v>70</v>
      </c>
      <c r="F30" s="321" t="s">
        <v>70</v>
      </c>
      <c r="G30" s="321" t="s">
        <v>70</v>
      </c>
    </row>
    <row r="31" spans="1:7" ht="15.75">
      <c r="A31" s="319">
        <v>9</v>
      </c>
      <c r="B31" s="320" t="s">
        <v>79</v>
      </c>
      <c r="C31" s="321" t="s">
        <v>70</v>
      </c>
      <c r="D31" s="321" t="s">
        <v>70</v>
      </c>
      <c r="E31" s="321" t="s">
        <v>70</v>
      </c>
      <c r="F31" s="321" t="s">
        <v>70</v>
      </c>
      <c r="G31" s="321" t="s">
        <v>70</v>
      </c>
    </row>
    <row r="32" spans="1:7" ht="31.5">
      <c r="A32" s="319">
        <v>10</v>
      </c>
      <c r="B32" s="320" t="s">
        <v>88</v>
      </c>
      <c r="C32" s="321" t="s">
        <v>70</v>
      </c>
      <c r="D32" s="321" t="s">
        <v>70</v>
      </c>
      <c r="E32" s="321" t="s">
        <v>70</v>
      </c>
      <c r="F32" s="321" t="s">
        <v>70</v>
      </c>
      <c r="G32" s="321" t="s">
        <v>70</v>
      </c>
    </row>
    <row r="33" spans="1:16" ht="15.75" customHeight="1">
      <c r="A33" s="319">
        <v>11</v>
      </c>
      <c r="B33" s="320" t="s">
        <v>80</v>
      </c>
      <c r="C33" s="321" t="s">
        <v>70</v>
      </c>
      <c r="D33" s="321" t="s">
        <v>70</v>
      </c>
      <c r="E33" s="321" t="s">
        <v>70</v>
      </c>
      <c r="F33" s="321" t="s">
        <v>70</v>
      </c>
      <c r="G33" s="321" t="s">
        <v>70</v>
      </c>
    </row>
    <row r="34" spans="1:16" ht="15.75">
      <c r="A34" s="319">
        <v>12</v>
      </c>
      <c r="B34" s="320" t="s">
        <v>81</v>
      </c>
      <c r="C34" s="321" t="s">
        <v>70</v>
      </c>
      <c r="D34" s="321" t="s">
        <v>70</v>
      </c>
      <c r="E34" s="321" t="s">
        <v>70</v>
      </c>
      <c r="F34" s="321" t="s">
        <v>70</v>
      </c>
      <c r="G34" s="321" t="s">
        <v>70</v>
      </c>
    </row>
    <row r="36" spans="1:16" s="207" customFormat="1" ht="15.75">
      <c r="B36" s="234" t="s">
        <v>1077</v>
      </c>
      <c r="C36" s="311"/>
      <c r="D36" s="507"/>
      <c r="E36" s="311"/>
      <c r="F36" s="311"/>
      <c r="G36" s="507"/>
      <c r="H36" s="311"/>
      <c r="I36" s="311"/>
      <c r="K36" s="311"/>
      <c r="L36" s="311"/>
      <c r="M36" s="509"/>
      <c r="N36" s="509"/>
      <c r="O36" s="311"/>
      <c r="P36" s="311"/>
    </row>
    <row r="37" spans="1:16" s="207" customFormat="1" ht="31.5" customHeight="1">
      <c r="B37" s="221"/>
      <c r="C37" s="217"/>
      <c r="D37" s="523" t="s">
        <v>1078</v>
      </c>
      <c r="E37" s="523"/>
      <c r="F37" s="524"/>
      <c r="G37" s="524" t="s">
        <v>1079</v>
      </c>
      <c r="H37" s="511"/>
      <c r="I37" s="510"/>
      <c r="K37" s="510"/>
      <c r="L37" s="510"/>
      <c r="M37" s="509"/>
      <c r="N37" s="509"/>
      <c r="O37" s="510"/>
      <c r="P37" s="510"/>
    </row>
    <row r="38" spans="1:16" s="207" customFormat="1" ht="15.75">
      <c r="B38" s="234" t="s">
        <v>1076</v>
      </c>
      <c r="C38" s="311"/>
      <c r="D38" s="529"/>
      <c r="E38" s="528"/>
      <c r="F38" s="528"/>
      <c r="G38" s="529"/>
      <c r="H38" s="311"/>
      <c r="I38" s="311"/>
      <c r="K38" s="311"/>
      <c r="L38" s="311"/>
      <c r="M38" s="509"/>
      <c r="N38" s="509"/>
      <c r="O38" s="311"/>
      <c r="P38" s="311"/>
    </row>
    <row r="39" spans="1:16" ht="29.25" customHeight="1">
      <c r="D39" s="521" t="s">
        <v>1078</v>
      </c>
      <c r="E39" s="69"/>
      <c r="F39" s="69"/>
      <c r="G39" s="521" t="s">
        <v>1079</v>
      </c>
      <c r="L39" s="68"/>
      <c r="M39" s="68"/>
      <c r="N39" s="68"/>
      <c r="O39" s="68"/>
      <c r="P39" s="68"/>
    </row>
    <row r="44" spans="1:16">
      <c r="B44" s="4" t="s">
        <v>77</v>
      </c>
    </row>
  </sheetData>
  <customSheetViews>
    <customSheetView guid="{CA0FB9E2-E541-4C74-BCFE-D75491869B36}" fitToPage="1">
      <selection activeCell="A36" sqref="A36:IV39"/>
      <pageMargins left="0.70866141732283472" right="0.70866141732283472" top="0.74803149606299213" bottom="0.74803149606299213" header="0.31496062992125984" footer="0.31496062992125984"/>
      <pageSetup paperSize="9" scale="77" orientation="portrait" r:id="rId1"/>
    </customSheetView>
    <customSheetView guid="{F10E3D8B-5892-420A-B023-68C6496D556B}" fitToPage="1">
      <selection activeCell="H25" sqref="H25"/>
      <pageMargins left="0.70866141732283472" right="0.70866141732283472" top="0.74803149606299213" bottom="0.74803149606299213" header="0.31496062992125984" footer="0.31496062992125984"/>
      <pageSetup paperSize="9" scale="74" orientation="portrait" r:id="rId2"/>
    </customSheetView>
    <customSheetView guid="{FE7E58EF-FECC-4DF6-BB75-BA97138CB219}" fitToPage="1">
      <selection activeCell="H25" sqref="H25"/>
      <pageMargins left="0.70866141732283472" right="0.70866141732283472" top="0.74803149606299213" bottom="0.74803149606299213" header="0.31496062992125984" footer="0.31496062992125984"/>
      <pageSetup paperSize="9" scale="74" orientation="portrait" r:id="rId3"/>
    </customSheetView>
    <customSheetView guid="{43136B00-66C6-4289-99D3-5EF20611F834}" showPageBreaks="1" fitToPage="1" topLeftCell="A13">
      <selection activeCell="A36" sqref="A36:IV38"/>
      <pageMargins left="0.70866141732283472" right="0.70866141732283472" top="0.74803149606299213" bottom="0.74803149606299213" header="0.31496062992125984" footer="0.31496062992125984"/>
      <pageSetup paperSize="9" scale="77" orientation="portrait" r:id="rId4"/>
    </customSheetView>
    <customSheetView guid="{22820B9F-10DE-4629-AF3D-4AF98A9BCEDB}" showPageBreaks="1" fitToPage="1" topLeftCell="A22">
      <selection activeCell="A36" sqref="A36:IV39"/>
      <pageMargins left="0.70866141732283472" right="0.70866141732283472" top="0.74803149606299213" bottom="0.74803149606299213" header="0.31496062992125984" footer="0.31496062992125984"/>
      <pageSetup paperSize="9" scale="77" orientation="portrait" r:id="rId5"/>
    </customSheetView>
  </customSheetViews>
  <mergeCells count="7">
    <mergeCell ref="E5:F5"/>
    <mergeCell ref="G5:G6"/>
    <mergeCell ref="A3:G3"/>
    <mergeCell ref="A5:A6"/>
    <mergeCell ref="B5:B6"/>
    <mergeCell ref="C5:C6"/>
    <mergeCell ref="D5:D6"/>
  </mergeCells>
  <phoneticPr fontId="116" type="noConversion"/>
  <pageMargins left="0.70866141732283472" right="0.70866141732283472" top="0.74803149606299213" bottom="0.74803149606299213" header="0.31496062992125984" footer="0.31496062992125984"/>
  <pageSetup paperSize="9" scale="77" orientation="portrait" r:id="rId6"/>
</worksheet>
</file>

<file path=xl/worksheets/sheet87.xml><?xml version="1.0" encoding="utf-8"?>
<worksheet xmlns="http://schemas.openxmlformats.org/spreadsheetml/2006/main" xmlns:r="http://schemas.openxmlformats.org/officeDocument/2006/relationships">
  <sheetPr codeName="Лист29"/>
  <dimension ref="A1:P22"/>
  <sheetViews>
    <sheetView zoomScaleNormal="100" workbookViewId="0">
      <selection activeCell="H26" sqref="H26"/>
    </sheetView>
  </sheetViews>
  <sheetFormatPr defaultRowHeight="15"/>
  <cols>
    <col min="1" max="1" width="4.7109375" style="26" customWidth="1"/>
    <col min="2" max="2" width="17.28515625" style="26" customWidth="1"/>
    <col min="3" max="3" width="13" style="26" customWidth="1"/>
    <col min="4" max="4" width="27.85546875" style="26" customWidth="1"/>
    <col min="5" max="5" width="11.140625" style="26" customWidth="1"/>
    <col min="6" max="6" width="11" style="26" customWidth="1"/>
    <col min="7" max="7" width="12" style="26" customWidth="1"/>
    <col min="8" max="8" width="12.7109375" style="26" customWidth="1"/>
    <col min="9" max="9" width="13.7109375" style="26" customWidth="1"/>
    <col min="10" max="10" width="17.140625" style="26" customWidth="1"/>
    <col min="11" max="16384" width="9.140625" style="26"/>
  </cols>
  <sheetData>
    <row r="1" spans="1:10" ht="16.7" customHeight="1">
      <c r="A1" s="423"/>
      <c r="B1" s="423"/>
      <c r="C1" s="423"/>
      <c r="D1" s="423"/>
      <c r="E1" s="423"/>
      <c r="F1" s="423"/>
      <c r="G1" s="423"/>
      <c r="H1" s="423"/>
      <c r="I1" s="423"/>
      <c r="J1" s="209" t="s">
        <v>968</v>
      </c>
    </row>
    <row r="2" spans="1:10" ht="16.7" customHeight="1">
      <c r="A2" s="423"/>
      <c r="B2" s="423"/>
      <c r="C2" s="423"/>
      <c r="D2" s="423"/>
      <c r="E2" s="423"/>
      <c r="F2" s="423"/>
      <c r="G2" s="423"/>
      <c r="H2" s="423"/>
      <c r="I2" s="423"/>
      <c r="J2" s="423"/>
    </row>
    <row r="3" spans="1:10" s="30" customFormat="1" ht="39" customHeight="1">
      <c r="A3" s="2052" t="s">
        <v>1675</v>
      </c>
      <c r="B3" s="2052"/>
      <c r="C3" s="2052"/>
      <c r="D3" s="2052"/>
      <c r="E3" s="2052"/>
      <c r="F3" s="2052"/>
      <c r="G3" s="2052"/>
      <c r="H3" s="2052"/>
      <c r="I3" s="2052"/>
      <c r="J3" s="2052"/>
    </row>
    <row r="4" spans="1:10" s="30" customFormat="1" ht="15.75">
      <c r="A4" s="418"/>
      <c r="B4" s="418"/>
      <c r="C4" s="418"/>
      <c r="D4" s="418"/>
      <c r="E4" s="418"/>
      <c r="F4" s="418"/>
      <c r="G4" s="418"/>
      <c r="H4" s="418"/>
      <c r="I4" s="418"/>
      <c r="J4" s="418"/>
    </row>
    <row r="5" spans="1:10" s="75" customFormat="1" ht="33" customHeight="1">
      <c r="A5" s="1516" t="s">
        <v>1267</v>
      </c>
      <c r="B5" s="1516" t="s">
        <v>1537</v>
      </c>
      <c r="C5" s="1516" t="s">
        <v>1538</v>
      </c>
      <c r="D5" s="1516" t="s">
        <v>1539</v>
      </c>
      <c r="E5" s="1516" t="s">
        <v>1542</v>
      </c>
      <c r="F5" s="1969" t="s">
        <v>1543</v>
      </c>
      <c r="G5" s="1970"/>
      <c r="H5" s="1971"/>
      <c r="I5" s="1516" t="s">
        <v>1544</v>
      </c>
      <c r="J5" s="1516" t="s">
        <v>90</v>
      </c>
    </row>
    <row r="6" spans="1:10" s="75" customFormat="1" ht="38.450000000000003" customHeight="1">
      <c r="A6" s="1518"/>
      <c r="B6" s="1518"/>
      <c r="C6" s="1518"/>
      <c r="D6" s="1518"/>
      <c r="E6" s="1518"/>
      <c r="F6" s="228" t="s">
        <v>1545</v>
      </c>
      <c r="G6" s="228" t="s">
        <v>1546</v>
      </c>
      <c r="H6" s="228" t="s">
        <v>1547</v>
      </c>
      <c r="I6" s="1518"/>
      <c r="J6" s="1518"/>
    </row>
    <row r="7" spans="1:10" s="75" customFormat="1" ht="15.75">
      <c r="A7" s="238">
        <v>1</v>
      </c>
      <c r="B7" s="238">
        <v>2</v>
      </c>
      <c r="C7" s="424">
        <v>3</v>
      </c>
      <c r="D7" s="238">
        <v>4</v>
      </c>
      <c r="E7" s="238">
        <v>5</v>
      </c>
      <c r="F7" s="228">
        <v>6</v>
      </c>
      <c r="G7" s="228">
        <v>7</v>
      </c>
      <c r="H7" s="228">
        <v>8</v>
      </c>
      <c r="I7" s="238">
        <v>9</v>
      </c>
      <c r="J7" s="238">
        <v>10</v>
      </c>
    </row>
    <row r="8" spans="1:10" s="76" customFormat="1" ht="15.75">
      <c r="A8" s="147">
        <v>1</v>
      </c>
      <c r="B8" s="175"/>
      <c r="C8" s="327"/>
      <c r="D8" s="169"/>
      <c r="E8" s="169"/>
      <c r="F8" s="147"/>
      <c r="G8" s="147"/>
      <c r="H8" s="328"/>
      <c r="I8" s="329"/>
      <c r="J8" s="329"/>
    </row>
    <row r="9" spans="1:10" s="76" customFormat="1" ht="15.75">
      <c r="A9" s="147">
        <v>2</v>
      </c>
      <c r="B9" s="330"/>
      <c r="C9" s="169"/>
      <c r="D9" s="169"/>
      <c r="E9" s="169"/>
      <c r="F9" s="147"/>
      <c r="G9" s="147"/>
      <c r="H9" s="328"/>
      <c r="I9" s="329"/>
      <c r="J9" s="329"/>
    </row>
    <row r="10" spans="1:10" s="76" customFormat="1" ht="15.75">
      <c r="A10" s="147">
        <v>3</v>
      </c>
      <c r="B10" s="330"/>
      <c r="C10" s="327"/>
      <c r="D10" s="169"/>
      <c r="E10" s="169"/>
      <c r="F10" s="147"/>
      <c r="G10" s="147"/>
      <c r="H10" s="328"/>
      <c r="I10" s="329"/>
      <c r="J10" s="329"/>
    </row>
    <row r="11" spans="1:10" s="76" customFormat="1" ht="15.75">
      <c r="A11" s="147">
        <v>4</v>
      </c>
      <c r="B11" s="169"/>
      <c r="C11" s="169"/>
      <c r="D11" s="169"/>
      <c r="E11" s="169"/>
      <c r="F11" s="147"/>
      <c r="G11" s="147"/>
      <c r="H11" s="328"/>
      <c r="I11" s="331"/>
      <c r="J11" s="329"/>
    </row>
    <row r="12" spans="1:10" s="76" customFormat="1" ht="15.75">
      <c r="A12" s="147">
        <v>5</v>
      </c>
      <c r="B12" s="169"/>
      <c r="C12" s="169"/>
      <c r="D12" s="169"/>
      <c r="E12" s="169"/>
      <c r="F12" s="147"/>
      <c r="G12" s="147"/>
      <c r="H12" s="328"/>
      <c r="I12" s="332"/>
      <c r="J12" s="329"/>
    </row>
    <row r="13" spans="1:10" s="76" customFormat="1" ht="15.75">
      <c r="A13" s="147">
        <v>6</v>
      </c>
      <c r="B13" s="327"/>
      <c r="C13" s="327"/>
      <c r="D13" s="169"/>
      <c r="E13" s="169"/>
      <c r="F13" s="147"/>
      <c r="G13" s="147"/>
      <c r="H13" s="328"/>
      <c r="I13" s="328"/>
      <c r="J13" s="329"/>
    </row>
    <row r="14" spans="1:10" ht="15.75">
      <c r="A14" s="263"/>
      <c r="B14" s="1810" t="s">
        <v>183</v>
      </c>
      <c r="C14" s="1810"/>
      <c r="D14" s="1810"/>
      <c r="E14" s="1810"/>
      <c r="F14" s="1810"/>
      <c r="G14" s="1810"/>
      <c r="H14" s="1810"/>
      <c r="I14" s="333"/>
      <c r="J14" s="248"/>
    </row>
    <row r="15" spans="1:10">
      <c r="A15" s="77"/>
      <c r="B15" s="78"/>
      <c r="C15" s="78"/>
      <c r="D15" s="78"/>
      <c r="E15" s="78"/>
      <c r="F15" s="78"/>
      <c r="G15" s="78"/>
      <c r="H15" s="78"/>
      <c r="I15" s="78"/>
      <c r="J15" s="79"/>
    </row>
    <row r="18" spans="1:16">
      <c r="B18" s="2051"/>
      <c r="C18" s="2051"/>
      <c r="D18" s="2051"/>
      <c r="E18" s="2051"/>
      <c r="F18" s="2051"/>
    </row>
    <row r="19" spans="1:16" s="207" customFormat="1" ht="15.75">
      <c r="B19" s="234" t="s">
        <v>1077</v>
      </c>
      <c r="C19" s="311"/>
      <c r="D19" s="311"/>
      <c r="E19" s="311"/>
      <c r="F19" s="311"/>
      <c r="G19" s="507"/>
      <c r="H19" s="311"/>
      <c r="I19" s="311"/>
      <c r="J19" s="507"/>
      <c r="K19" s="311"/>
      <c r="L19" s="311"/>
      <c r="M19" s="509"/>
      <c r="N19" s="509"/>
      <c r="O19" s="311"/>
      <c r="P19" s="311"/>
    </row>
    <row r="20" spans="1:16" s="207" customFormat="1" ht="31.5" customHeight="1">
      <c r="B20" s="221"/>
      <c r="C20" s="217"/>
      <c r="D20" s="510"/>
      <c r="E20" s="217"/>
      <c r="F20" s="510"/>
      <c r="G20" s="523" t="s">
        <v>1078</v>
      </c>
      <c r="H20" s="533"/>
      <c r="I20" s="524"/>
      <c r="J20" s="524" t="s">
        <v>1079</v>
      </c>
      <c r="K20" s="510"/>
      <c r="L20" s="510"/>
      <c r="M20" s="509"/>
      <c r="N20" s="509"/>
      <c r="O20" s="510"/>
      <c r="P20" s="510"/>
    </row>
    <row r="21" spans="1:16" s="207" customFormat="1" ht="15.75">
      <c r="B21" s="234" t="s">
        <v>1076</v>
      </c>
      <c r="C21" s="311"/>
      <c r="D21" s="311"/>
      <c r="E21" s="311"/>
      <c r="F21" s="311"/>
      <c r="G21" s="529"/>
      <c r="H21" s="528"/>
      <c r="I21" s="528"/>
      <c r="J21" s="529"/>
      <c r="K21" s="311"/>
      <c r="L21" s="311"/>
      <c r="M21" s="509"/>
      <c r="N21" s="509"/>
      <c r="O21" s="311"/>
      <c r="P21" s="311"/>
    </row>
    <row r="22" spans="1:16" s="4" customFormat="1" ht="29.25" customHeight="1">
      <c r="A22" s="25"/>
      <c r="D22" s="34"/>
      <c r="G22" s="521" t="s">
        <v>1078</v>
      </c>
      <c r="H22" s="69"/>
      <c r="I22" s="69"/>
      <c r="J22" s="525" t="s">
        <v>1079</v>
      </c>
      <c r="L22" s="68"/>
      <c r="M22" s="68"/>
      <c r="N22" s="68"/>
      <c r="O22" s="68"/>
      <c r="P22" s="68"/>
    </row>
  </sheetData>
  <customSheetViews>
    <customSheetView guid="{CA0FB9E2-E541-4C74-BCFE-D75491869B36}">
      <selection activeCell="J22" sqref="J22"/>
      <pageMargins left="0.98425196850393704" right="0" top="0.23622047244094491" bottom="0.11811023622047245" header="0.15748031496062992" footer="0.15748031496062992"/>
      <pageSetup paperSize="9" scale="90" orientation="landscape" verticalDpi="300" r:id="rId1"/>
      <headerFooter alignWithMargins="0"/>
    </customSheetView>
    <customSheetView guid="{F10E3D8B-5892-420A-B023-68C6496D556B}">
      <selection activeCell="A7" sqref="A7:A12"/>
      <pageMargins left="0.98425196850393704" right="0" top="0.23622047244094491" bottom="0.11811023622047245" header="0.15748031496062992" footer="0.15748031496062992"/>
      <pageSetup paperSize="9" scale="90" orientation="landscape" verticalDpi="300" r:id="rId2"/>
      <headerFooter alignWithMargins="0"/>
    </customSheetView>
    <customSheetView guid="{FE7E58EF-FECC-4DF6-BB75-BA97138CB219}">
      <selection activeCell="A7" sqref="A7:A12"/>
      <pageMargins left="0.98425196850393704" right="0" top="0.23622047244094491" bottom="0.11811023622047245" header="0.15748031496062992" footer="0.15748031496062992"/>
      <pageSetup paperSize="9" scale="90" orientation="landscape" verticalDpi="300" r:id="rId3"/>
      <headerFooter alignWithMargins="0"/>
    </customSheetView>
    <customSheetView guid="{43136B00-66C6-4289-99D3-5EF20611F834}" showPageBreaks="1">
      <selection activeCell="A19" sqref="A19:IV22"/>
      <pageMargins left="0.98425196850393704" right="0" top="0.23622047244094491" bottom="0.11811023622047245" header="0.15748031496062992" footer="0.15748031496062992"/>
      <pageSetup paperSize="9" scale="90" orientation="landscape" verticalDpi="300" r:id="rId4"/>
      <headerFooter alignWithMargins="0"/>
    </customSheetView>
    <customSheetView guid="{22820B9F-10DE-4629-AF3D-4AF98A9BCEDB}">
      <selection activeCell="H22" sqref="H22"/>
      <pageMargins left="0.98425196850393704" right="0" top="0.23622047244094491" bottom="0.11811023622047245" header="0.15748031496062992" footer="0.15748031496062992"/>
      <pageSetup paperSize="9" scale="90" orientation="landscape" verticalDpi="300" r:id="rId5"/>
      <headerFooter alignWithMargins="0"/>
    </customSheetView>
  </customSheetViews>
  <mergeCells count="11">
    <mergeCell ref="J5:J6"/>
    <mergeCell ref="B14:H14"/>
    <mergeCell ref="B18:F18"/>
    <mergeCell ref="A3:J3"/>
    <mergeCell ref="A5:A6"/>
    <mergeCell ref="B5:B6"/>
    <mergeCell ref="C5:C6"/>
    <mergeCell ref="D5:D6"/>
    <mergeCell ref="E5:E6"/>
    <mergeCell ref="F5:H5"/>
    <mergeCell ref="I5:I6"/>
  </mergeCells>
  <phoneticPr fontId="116" type="noConversion"/>
  <pageMargins left="0.98425196850393704" right="0" top="0.23622047244094491" bottom="0.11811023622047245" header="0.15748031496062992" footer="0.15748031496062992"/>
  <pageSetup paperSize="9" scale="90" orientation="landscape" verticalDpi="300" r:id="rId6"/>
  <headerFooter alignWithMargins="0"/>
</worksheet>
</file>

<file path=xl/worksheets/sheet88.xml><?xml version="1.0" encoding="utf-8"?>
<worksheet xmlns="http://schemas.openxmlformats.org/spreadsheetml/2006/main" xmlns:r="http://schemas.openxmlformats.org/officeDocument/2006/relationships">
  <sheetPr codeName="Лист30">
    <pageSetUpPr fitToPage="1"/>
  </sheetPr>
  <dimension ref="A1:P23"/>
  <sheetViews>
    <sheetView view="pageBreakPreview" zoomScale="60" zoomScaleNormal="100" workbookViewId="0">
      <selection activeCell="E5" sqref="E5:E6"/>
    </sheetView>
  </sheetViews>
  <sheetFormatPr defaultRowHeight="15"/>
  <cols>
    <col min="1" max="1" width="4.7109375" style="26" customWidth="1"/>
    <col min="2" max="2" width="17.28515625" style="26" customWidth="1"/>
    <col min="3" max="3" width="13" style="26" customWidth="1"/>
    <col min="4" max="4" width="14.28515625" style="26" customWidth="1"/>
    <col min="5" max="5" width="11.42578125" style="26" customWidth="1"/>
    <col min="6" max="6" width="12.7109375" style="26" customWidth="1"/>
    <col min="7" max="7" width="16" style="26" customWidth="1"/>
    <col min="8" max="16384" width="9.140625" style="26"/>
  </cols>
  <sheetData>
    <row r="1" spans="1:16" ht="15.75">
      <c r="A1" s="161"/>
      <c r="B1" s="161"/>
      <c r="C1" s="161"/>
      <c r="D1" s="161"/>
      <c r="E1" s="161"/>
      <c r="F1" s="161"/>
      <c r="G1" s="209" t="s">
        <v>969</v>
      </c>
    </row>
    <row r="2" spans="1:16" ht="16.7" customHeight="1">
      <c r="A2" s="2053"/>
      <c r="B2" s="2053"/>
      <c r="C2" s="2053"/>
      <c r="D2" s="2053"/>
      <c r="E2" s="2053"/>
      <c r="F2" s="2053"/>
      <c r="G2" s="2053"/>
      <c r="H2" s="32"/>
    </row>
    <row r="3" spans="1:16" s="30" customFormat="1" ht="39" customHeight="1">
      <c r="A3" s="2052" t="s">
        <v>1676</v>
      </c>
      <c r="B3" s="2052"/>
      <c r="C3" s="2052"/>
      <c r="D3" s="2052"/>
      <c r="E3" s="2052"/>
      <c r="F3" s="2052"/>
      <c r="G3" s="2052"/>
    </row>
    <row r="4" spans="1:16" s="30" customFormat="1" ht="15.75">
      <c r="A4" s="311"/>
      <c r="B4" s="311"/>
      <c r="C4" s="311"/>
      <c r="D4" s="311"/>
      <c r="E4" s="311"/>
      <c r="F4" s="311"/>
      <c r="G4" s="311"/>
    </row>
    <row r="5" spans="1:16" s="75" customFormat="1" ht="33" customHeight="1">
      <c r="A5" s="1516" t="s">
        <v>1267</v>
      </c>
      <c r="B5" s="1516" t="s">
        <v>1537</v>
      </c>
      <c r="C5" s="1516" t="s">
        <v>1538</v>
      </c>
      <c r="D5" s="1516" t="s">
        <v>1539</v>
      </c>
      <c r="E5" s="1516" t="s">
        <v>1540</v>
      </c>
      <c r="F5" s="1516" t="s">
        <v>1541</v>
      </c>
      <c r="G5" s="1516" t="s">
        <v>90</v>
      </c>
    </row>
    <row r="6" spans="1:16" s="75" customFormat="1" ht="45.4" customHeight="1">
      <c r="A6" s="1518"/>
      <c r="B6" s="1518"/>
      <c r="C6" s="1518"/>
      <c r="D6" s="1518"/>
      <c r="E6" s="1518"/>
      <c r="F6" s="1518"/>
      <c r="G6" s="1518"/>
    </row>
    <row r="7" spans="1:16" s="75" customFormat="1" ht="15.75">
      <c r="A7" s="238">
        <v>1</v>
      </c>
      <c r="B7" s="238">
        <v>2</v>
      </c>
      <c r="C7" s="424">
        <v>3</v>
      </c>
      <c r="D7" s="238">
        <v>4</v>
      </c>
      <c r="E7" s="238">
        <v>5</v>
      </c>
      <c r="F7" s="238">
        <v>6</v>
      </c>
      <c r="G7" s="238">
        <v>7</v>
      </c>
    </row>
    <row r="8" spans="1:16" s="76" customFormat="1" ht="15.75">
      <c r="A8" s="147">
        <v>1</v>
      </c>
      <c r="B8" s="175"/>
      <c r="C8" s="327"/>
      <c r="D8" s="169"/>
      <c r="E8" s="169"/>
      <c r="F8" s="329"/>
      <c r="G8" s="329"/>
    </row>
    <row r="9" spans="1:16" s="76" customFormat="1" ht="15.75">
      <c r="A9" s="147">
        <v>2</v>
      </c>
      <c r="B9" s="330"/>
      <c r="C9" s="169"/>
      <c r="D9" s="169"/>
      <c r="E9" s="169"/>
      <c r="F9" s="329"/>
      <c r="G9" s="329"/>
    </row>
    <row r="10" spans="1:16" s="76" customFormat="1" ht="15.75">
      <c r="A10" s="147">
        <v>3</v>
      </c>
      <c r="B10" s="330"/>
      <c r="C10" s="327"/>
      <c r="D10" s="169"/>
      <c r="E10" s="169"/>
      <c r="F10" s="329"/>
      <c r="G10" s="329"/>
    </row>
    <row r="11" spans="1:16" s="76" customFormat="1" ht="15.75">
      <c r="A11" s="147">
        <v>4</v>
      </c>
      <c r="B11" s="169"/>
      <c r="C11" s="169"/>
      <c r="D11" s="169"/>
      <c r="E11" s="169"/>
      <c r="F11" s="331"/>
      <c r="G11" s="329"/>
    </row>
    <row r="12" spans="1:16" s="76" customFormat="1" ht="15.75">
      <c r="A12" s="147">
        <v>5</v>
      </c>
      <c r="B12" s="169"/>
      <c r="C12" s="169"/>
      <c r="D12" s="169"/>
      <c r="E12" s="169"/>
      <c r="F12" s="332"/>
      <c r="G12" s="329"/>
    </row>
    <row r="13" spans="1:16" s="76" customFormat="1" ht="15.75">
      <c r="A13" s="147">
        <v>6</v>
      </c>
      <c r="B13" s="327"/>
      <c r="C13" s="327"/>
      <c r="D13" s="169"/>
      <c r="E13" s="169"/>
      <c r="F13" s="328"/>
      <c r="G13" s="329"/>
    </row>
    <row r="14" spans="1:16" ht="15.75">
      <c r="A14" s="263"/>
      <c r="B14" s="2054" t="s">
        <v>183</v>
      </c>
      <c r="C14" s="2055"/>
      <c r="D14" s="2055"/>
      <c r="E14" s="2055"/>
      <c r="F14" s="2056"/>
      <c r="G14" s="248"/>
    </row>
    <row r="15" spans="1:16">
      <c r="A15" s="77"/>
      <c r="B15" s="78"/>
      <c r="C15" s="78"/>
      <c r="D15" s="78"/>
      <c r="E15" s="78"/>
      <c r="F15" s="78"/>
      <c r="G15" s="79"/>
    </row>
    <row r="16" spans="1:16" s="207" customFormat="1" ht="15.75">
      <c r="B16" s="234" t="s">
        <v>1077</v>
      </c>
      <c r="C16" s="311"/>
      <c r="D16" s="311"/>
      <c r="E16" s="507"/>
      <c r="F16" s="311"/>
      <c r="G16" s="507"/>
      <c r="H16" s="311"/>
      <c r="I16" s="311"/>
      <c r="K16" s="311"/>
      <c r="L16" s="311"/>
      <c r="M16" s="509"/>
      <c r="N16" s="509"/>
      <c r="O16" s="311"/>
      <c r="P16" s="311"/>
    </row>
    <row r="17" spans="1:16" s="207" customFormat="1" ht="31.5" customHeight="1">
      <c r="B17" s="221"/>
      <c r="C17" s="217"/>
      <c r="E17" s="523" t="s">
        <v>1078</v>
      </c>
      <c r="F17" s="524"/>
      <c r="G17" s="524" t="s">
        <v>1079</v>
      </c>
      <c r="H17" s="511"/>
      <c r="I17" s="510"/>
      <c r="K17" s="510"/>
      <c r="L17" s="510"/>
      <c r="M17" s="509"/>
      <c r="N17" s="509"/>
      <c r="O17" s="510"/>
      <c r="P17" s="510"/>
    </row>
    <row r="18" spans="1:16" s="207" customFormat="1" ht="15.75">
      <c r="B18" s="234" t="s">
        <v>1076</v>
      </c>
      <c r="C18" s="311"/>
      <c r="D18" s="311"/>
      <c r="E18" s="529"/>
      <c r="F18" s="528"/>
      <c r="G18" s="529"/>
      <c r="H18" s="311"/>
      <c r="I18" s="311"/>
      <c r="K18" s="311"/>
      <c r="L18" s="311"/>
      <c r="M18" s="509"/>
      <c r="N18" s="509"/>
      <c r="O18" s="311"/>
      <c r="P18" s="311"/>
    </row>
    <row r="19" spans="1:16" s="207" customFormat="1" ht="31.5" customHeight="1">
      <c r="B19" s="221"/>
      <c r="C19" s="217"/>
      <c r="E19" s="523" t="s">
        <v>1078</v>
      </c>
      <c r="F19" s="524"/>
      <c r="G19" s="524" t="s">
        <v>1079</v>
      </c>
      <c r="H19" s="511"/>
      <c r="I19" s="510"/>
      <c r="K19" s="510"/>
      <c r="L19" s="510"/>
      <c r="M19" s="509"/>
      <c r="N19" s="509"/>
      <c r="O19" s="510"/>
      <c r="P19" s="510"/>
    </row>
    <row r="20" spans="1:16">
      <c r="A20" s="77"/>
      <c r="B20" s="78"/>
      <c r="C20" s="78"/>
      <c r="D20" s="78"/>
      <c r="E20" s="78"/>
      <c r="F20" s="78"/>
      <c r="G20" s="79"/>
    </row>
    <row r="23" spans="1:16">
      <c r="B23" s="2051"/>
      <c r="C23" s="2051"/>
      <c r="D23" s="2051"/>
      <c r="E23" s="2051"/>
    </row>
  </sheetData>
  <customSheetViews>
    <customSheetView guid="{CA0FB9E2-E541-4C74-BCFE-D75491869B36}" scale="60" showPageBreaks="1" fitToPage="1" view="pageBreakPreview">
      <selection activeCell="A16" sqref="A16:IV19"/>
      <pageMargins left="0.98425196850393704" right="0" top="0.23622047244094491" bottom="0.11811023622047245" header="0.15748031496062992" footer="0.15748031496062992"/>
      <pageSetup paperSize="9" orientation="portrait" verticalDpi="300" r:id="rId1"/>
      <headerFooter alignWithMargins="0"/>
    </customSheetView>
    <customSheetView guid="{F10E3D8B-5892-420A-B023-68C6496D556B}" fitToPage="1">
      <selection activeCell="D27" sqref="D27"/>
      <pageMargins left="0.98425196850393704" right="0" top="0.23622047244094491" bottom="0.11811023622047245" header="0.15748031496062992" footer="0.15748031496062992"/>
      <pageSetup paperSize="9" orientation="portrait" verticalDpi="300" r:id="rId2"/>
      <headerFooter alignWithMargins="0"/>
    </customSheetView>
    <customSheetView guid="{FE7E58EF-FECC-4DF6-BB75-BA97138CB219}" fitToPage="1">
      <selection activeCell="D27" sqref="D27"/>
      <pageMargins left="0.98425196850393704" right="0" top="0.23622047244094491" bottom="0.11811023622047245" header="0.15748031496062992" footer="0.15748031496062992"/>
      <pageSetup paperSize="9" orientation="portrait" verticalDpi="300" r:id="rId3"/>
      <headerFooter alignWithMargins="0"/>
    </customSheetView>
    <customSheetView guid="{43136B00-66C6-4289-99D3-5EF20611F834}" showPageBreaks="1" fitToPage="1">
      <selection activeCell="A16" sqref="A16:IV19"/>
      <pageMargins left="0.98425196850393704" right="0" top="0.23622047244094491" bottom="0.11811023622047245" header="0.15748031496062992" footer="0.15748031496062992"/>
      <pageSetup paperSize="9" orientation="portrait" verticalDpi="300" r:id="rId4"/>
      <headerFooter alignWithMargins="0"/>
    </customSheetView>
    <customSheetView guid="{22820B9F-10DE-4629-AF3D-4AF98A9BCEDB}" scale="60" showPageBreaks="1" fitToPage="1" view="pageBreakPreview">
      <selection activeCell="A16" sqref="A16:IV19"/>
      <pageMargins left="0.98425196850393704" right="0" top="0.23622047244094491" bottom="0.11811023622047245" header="0.15748031496062992" footer="0.15748031496062992"/>
      <pageSetup paperSize="9" orientation="portrait" verticalDpi="300" r:id="rId5"/>
      <headerFooter alignWithMargins="0"/>
    </customSheetView>
  </customSheetViews>
  <mergeCells count="11">
    <mergeCell ref="B14:F14"/>
    <mergeCell ref="B23:E23"/>
    <mergeCell ref="A2:G2"/>
    <mergeCell ref="A3:G3"/>
    <mergeCell ref="A5:A6"/>
    <mergeCell ref="B5:B6"/>
    <mergeCell ref="C5:C6"/>
    <mergeCell ref="D5:D6"/>
    <mergeCell ref="E5:E6"/>
    <mergeCell ref="F5:F6"/>
    <mergeCell ref="G5:G6"/>
  </mergeCells>
  <phoneticPr fontId="116" type="noConversion"/>
  <pageMargins left="0.98425196850393704" right="0" top="0.23622047244094491" bottom="0.11811023622047245" header="0.15748031496062992" footer="0.15748031496062992"/>
  <pageSetup paperSize="9" orientation="portrait" verticalDpi="300" r:id="rId6"/>
  <headerFooter alignWithMargins="0"/>
</worksheet>
</file>

<file path=xl/worksheets/sheet89.xml><?xml version="1.0" encoding="utf-8"?>
<worksheet xmlns="http://schemas.openxmlformats.org/spreadsheetml/2006/main" xmlns:r="http://schemas.openxmlformats.org/officeDocument/2006/relationships">
  <sheetPr codeName="Лист34"/>
  <dimension ref="A1:Q41"/>
  <sheetViews>
    <sheetView topLeftCell="A31" zoomScaleNormal="100" workbookViewId="0">
      <selection activeCell="G10" sqref="G10"/>
    </sheetView>
  </sheetViews>
  <sheetFormatPr defaultRowHeight="15"/>
  <cols>
    <col min="1" max="1" width="49.140625" style="4" customWidth="1"/>
    <col min="2" max="2" width="8.5703125" style="4" customWidth="1"/>
    <col min="3" max="3" width="6.28515625" style="4" customWidth="1"/>
    <col min="4" max="4" width="6.7109375" style="4" customWidth="1"/>
    <col min="5" max="5" width="8.5703125" style="4" customWidth="1"/>
    <col min="6" max="6" width="6.42578125" style="4" customWidth="1"/>
    <col min="7" max="7" width="7.28515625" style="4" customWidth="1"/>
    <col min="8" max="8" width="19" style="4" customWidth="1"/>
    <col min="9" max="9" width="17.28515625" style="4" customWidth="1"/>
    <col min="10" max="10" width="18.7109375" style="4" customWidth="1"/>
    <col min="11" max="16384" width="9.140625" style="4"/>
  </cols>
  <sheetData>
    <row r="1" spans="1:10" ht="15.75">
      <c r="A1" s="324"/>
      <c r="B1" s="324"/>
      <c r="C1" s="324"/>
      <c r="D1" s="324"/>
      <c r="E1" s="324"/>
      <c r="F1" s="324"/>
      <c r="G1" s="324"/>
      <c r="H1" s="324"/>
      <c r="I1" s="324"/>
      <c r="J1" s="209" t="s">
        <v>973</v>
      </c>
    </row>
    <row r="2" spans="1:10" ht="15.75">
      <c r="A2" s="324"/>
      <c r="B2" s="324"/>
      <c r="C2" s="324"/>
      <c r="D2" s="324"/>
      <c r="E2" s="324"/>
      <c r="F2" s="324"/>
      <c r="G2" s="324"/>
      <c r="H2" s="324"/>
      <c r="I2" s="425"/>
      <c r="J2" s="425"/>
    </row>
    <row r="3" spans="1:10" ht="39" customHeight="1">
      <c r="A3" s="2057" t="s">
        <v>1734</v>
      </c>
      <c r="B3" s="2057"/>
      <c r="C3" s="2057"/>
      <c r="D3" s="2057"/>
      <c r="E3" s="2057"/>
      <c r="F3" s="2057"/>
      <c r="G3" s="2057"/>
      <c r="H3" s="2057"/>
      <c r="I3" s="2057"/>
      <c r="J3" s="2057"/>
    </row>
    <row r="4" spans="1:10" ht="15.75">
      <c r="A4" s="324"/>
      <c r="B4" s="324"/>
      <c r="C4" s="324"/>
      <c r="D4" s="324"/>
      <c r="E4" s="324"/>
      <c r="F4" s="426"/>
      <c r="G4" s="426"/>
      <c r="H4" s="426"/>
      <c r="I4" s="426"/>
      <c r="J4" s="426"/>
    </row>
    <row r="5" spans="1:10" ht="15" customHeight="1">
      <c r="A5" s="2061"/>
      <c r="B5" s="2062" t="s">
        <v>1728</v>
      </c>
      <c r="C5" s="2063"/>
      <c r="D5" s="2063"/>
      <c r="E5" s="2063"/>
      <c r="F5" s="2063"/>
      <c r="G5" s="2063"/>
      <c r="H5" s="2063"/>
      <c r="I5" s="2063"/>
      <c r="J5" s="2064"/>
    </row>
    <row r="6" spans="1:10" ht="15" customHeight="1">
      <c r="A6" s="2061"/>
      <c r="B6" s="2065">
        <v>226</v>
      </c>
      <c r="C6" s="2066"/>
      <c r="D6" s="2067"/>
      <c r="E6" s="2065">
        <v>340</v>
      </c>
      <c r="F6" s="2066"/>
      <c r="G6" s="2067"/>
      <c r="H6" s="339">
        <v>262</v>
      </c>
      <c r="I6" s="340" t="s">
        <v>98</v>
      </c>
      <c r="J6" s="340" t="s">
        <v>99</v>
      </c>
    </row>
    <row r="7" spans="1:10" s="69" customFormat="1" ht="211.15" customHeight="1">
      <c r="A7" s="2061"/>
      <c r="B7" s="341" t="s">
        <v>100</v>
      </c>
      <c r="C7" s="341" t="s">
        <v>101</v>
      </c>
      <c r="D7" s="341" t="s">
        <v>102</v>
      </c>
      <c r="E7" s="341" t="s">
        <v>100</v>
      </c>
      <c r="F7" s="341" t="s">
        <v>101</v>
      </c>
      <c r="G7" s="341" t="s">
        <v>103</v>
      </c>
      <c r="H7" s="341" t="s">
        <v>104</v>
      </c>
      <c r="I7" s="341" t="s">
        <v>105</v>
      </c>
      <c r="J7" s="341" t="s">
        <v>106</v>
      </c>
    </row>
    <row r="8" spans="1:10" s="69" customFormat="1" ht="15.75">
      <c r="A8" s="368">
        <v>1</v>
      </c>
      <c r="B8" s="241">
        <v>2</v>
      </c>
      <c r="C8" s="368">
        <v>3</v>
      </c>
      <c r="D8" s="241">
        <v>4</v>
      </c>
      <c r="E8" s="368">
        <v>5</v>
      </c>
      <c r="F8" s="241">
        <v>6</v>
      </c>
      <c r="G8" s="368">
        <v>7</v>
      </c>
      <c r="H8" s="241">
        <v>8</v>
      </c>
      <c r="I8" s="368">
        <v>9</v>
      </c>
      <c r="J8" s="241">
        <v>10</v>
      </c>
    </row>
    <row r="9" spans="1:10" ht="15.75">
      <c r="A9" s="343" t="s">
        <v>107</v>
      </c>
      <c r="B9" s="339"/>
      <c r="C9" s="339"/>
      <c r="D9" s="339"/>
      <c r="E9" s="339"/>
      <c r="F9" s="339"/>
      <c r="G9" s="339"/>
      <c r="H9" s="339"/>
      <c r="I9" s="339"/>
      <c r="J9" s="339"/>
    </row>
    <row r="10" spans="1:10" ht="93" customHeight="1">
      <c r="A10" s="342" t="s">
        <v>1729</v>
      </c>
      <c r="B10" s="339" t="s">
        <v>82</v>
      </c>
      <c r="C10" s="339"/>
      <c r="D10" s="339" t="s">
        <v>82</v>
      </c>
      <c r="E10" s="339" t="s">
        <v>82</v>
      </c>
      <c r="F10" s="339"/>
      <c r="G10" s="339" t="s">
        <v>82</v>
      </c>
      <c r="H10" s="339"/>
      <c r="I10" s="339" t="s">
        <v>82</v>
      </c>
      <c r="J10" s="339"/>
    </row>
    <row r="11" spans="1:10" ht="15.75">
      <c r="A11" s="342" t="s">
        <v>108</v>
      </c>
      <c r="B11" s="339" t="s">
        <v>82</v>
      </c>
      <c r="C11" s="339"/>
      <c r="D11" s="339" t="s">
        <v>82</v>
      </c>
      <c r="E11" s="339" t="s">
        <v>82</v>
      </c>
      <c r="F11" s="339"/>
      <c r="G11" s="339" t="s">
        <v>82</v>
      </c>
      <c r="H11" s="339"/>
      <c r="I11" s="339" t="s">
        <v>82</v>
      </c>
      <c r="J11" s="339"/>
    </row>
    <row r="12" spans="1:10" ht="31.5">
      <c r="A12" s="342" t="s">
        <v>109</v>
      </c>
      <c r="B12" s="339" t="s">
        <v>82</v>
      </c>
      <c r="C12" s="339"/>
      <c r="D12" s="339" t="s">
        <v>82</v>
      </c>
      <c r="E12" s="339" t="s">
        <v>82</v>
      </c>
      <c r="F12" s="339"/>
      <c r="G12" s="339" t="s">
        <v>82</v>
      </c>
      <c r="H12" s="339"/>
      <c r="I12" s="339" t="s">
        <v>82</v>
      </c>
      <c r="J12" s="339"/>
    </row>
    <row r="13" spans="1:10" ht="15.75">
      <c r="A13" s="343" t="s">
        <v>110</v>
      </c>
      <c r="B13" s="339" t="s">
        <v>82</v>
      </c>
      <c r="C13" s="344">
        <f>C10*C11*C12</f>
        <v>0</v>
      </c>
      <c r="D13" s="339" t="s">
        <v>82</v>
      </c>
      <c r="E13" s="339" t="s">
        <v>82</v>
      </c>
      <c r="F13" s="344">
        <f>F10*F11*F12</f>
        <v>0</v>
      </c>
      <c r="G13" s="339" t="s">
        <v>82</v>
      </c>
      <c r="H13" s="344">
        <f>H10*H11*H12</f>
        <v>0</v>
      </c>
      <c r="I13" s="344" t="s">
        <v>82</v>
      </c>
      <c r="J13" s="344">
        <f>J10*J11*J12</f>
        <v>0</v>
      </c>
    </row>
    <row r="14" spans="1:10" ht="11.25" customHeight="1">
      <c r="A14" s="345"/>
      <c r="B14" s="339"/>
      <c r="C14" s="339"/>
      <c r="D14" s="339"/>
      <c r="E14" s="339"/>
      <c r="F14" s="339"/>
      <c r="G14" s="339"/>
      <c r="H14" s="339"/>
      <c r="I14" s="339"/>
      <c r="J14" s="339"/>
    </row>
    <row r="15" spans="1:10" ht="62.25" customHeight="1">
      <c r="A15" s="115" t="s">
        <v>1730</v>
      </c>
      <c r="B15" s="339"/>
      <c r="C15" s="339"/>
      <c r="D15" s="339" t="s">
        <v>82</v>
      </c>
      <c r="E15" s="339"/>
      <c r="F15" s="339"/>
      <c r="G15" s="339" t="s">
        <v>82</v>
      </c>
      <c r="H15" s="339"/>
      <c r="I15" s="339" t="s">
        <v>82</v>
      </c>
      <c r="J15" s="339"/>
    </row>
    <row r="16" spans="1:10" ht="15.75">
      <c r="A16" s="342" t="s">
        <v>108</v>
      </c>
      <c r="B16" s="339"/>
      <c r="C16" s="339"/>
      <c r="D16" s="339" t="s">
        <v>82</v>
      </c>
      <c r="E16" s="339"/>
      <c r="F16" s="339"/>
      <c r="G16" s="339" t="s">
        <v>82</v>
      </c>
      <c r="H16" s="339"/>
      <c r="I16" s="339" t="s">
        <v>82</v>
      </c>
      <c r="J16" s="339"/>
    </row>
    <row r="17" spans="1:10" ht="15.75">
      <c r="A17" s="342" t="s">
        <v>111</v>
      </c>
      <c r="B17" s="339"/>
      <c r="C17" s="339"/>
      <c r="D17" s="339" t="s">
        <v>82</v>
      </c>
      <c r="E17" s="339"/>
      <c r="F17" s="339"/>
      <c r="G17" s="339" t="s">
        <v>82</v>
      </c>
      <c r="H17" s="339"/>
      <c r="I17" s="339" t="s">
        <v>82</v>
      </c>
      <c r="J17" s="339"/>
    </row>
    <row r="18" spans="1:10" ht="15.75">
      <c r="A18" s="343" t="s">
        <v>1731</v>
      </c>
      <c r="B18" s="344">
        <f>B15*B16*B17</f>
        <v>0</v>
      </c>
      <c r="C18" s="344">
        <f>C15*C16*C17</f>
        <v>0</v>
      </c>
      <c r="D18" s="339" t="s">
        <v>82</v>
      </c>
      <c r="E18" s="344">
        <f>E15*E16*E17</f>
        <v>0</v>
      </c>
      <c r="F18" s="344">
        <f>F15*F16*F17</f>
        <v>0</v>
      </c>
      <c r="G18" s="339" t="s">
        <v>82</v>
      </c>
      <c r="H18" s="344">
        <f>H15*H16*H17</f>
        <v>0</v>
      </c>
      <c r="I18" s="344" t="s">
        <v>82</v>
      </c>
      <c r="J18" s="344">
        <f>J15*J16*J17</f>
        <v>0</v>
      </c>
    </row>
    <row r="19" spans="1:10" ht="8.25" customHeight="1">
      <c r="A19" s="346"/>
      <c r="B19" s="339"/>
      <c r="C19" s="339"/>
      <c r="D19" s="339"/>
      <c r="E19" s="339"/>
      <c r="F19" s="339"/>
      <c r="G19" s="339"/>
      <c r="H19" s="339"/>
      <c r="I19" s="339"/>
      <c r="J19" s="339"/>
    </row>
    <row r="20" spans="1:10" ht="31.5">
      <c r="A20" s="342" t="s">
        <v>1921</v>
      </c>
      <c r="B20" s="341" t="s">
        <v>82</v>
      </c>
      <c r="C20" s="341" t="s">
        <v>82</v>
      </c>
      <c r="D20" s="342"/>
      <c r="E20" s="341" t="s">
        <v>82</v>
      </c>
      <c r="F20" s="341" t="s">
        <v>82</v>
      </c>
      <c r="G20" s="342"/>
      <c r="H20" s="342"/>
      <c r="I20" s="339" t="s">
        <v>82</v>
      </c>
      <c r="J20" s="339"/>
    </row>
    <row r="21" spans="1:10" ht="15.75">
      <c r="A21" s="342" t="s">
        <v>108</v>
      </c>
      <c r="B21" s="339" t="s">
        <v>82</v>
      </c>
      <c r="C21" s="339" t="s">
        <v>82</v>
      </c>
      <c r="D21" s="339"/>
      <c r="E21" s="339" t="s">
        <v>82</v>
      </c>
      <c r="F21" s="339" t="s">
        <v>82</v>
      </c>
      <c r="G21" s="339"/>
      <c r="H21" s="339"/>
      <c r="I21" s="339" t="s">
        <v>82</v>
      </c>
      <c r="J21" s="339"/>
    </row>
    <row r="22" spans="1:10" ht="31.5">
      <c r="A22" s="342" t="s">
        <v>112</v>
      </c>
      <c r="B22" s="339" t="s">
        <v>82</v>
      </c>
      <c r="C22" s="339" t="s">
        <v>82</v>
      </c>
      <c r="D22" s="339"/>
      <c r="E22" s="339" t="s">
        <v>82</v>
      </c>
      <c r="F22" s="339" t="s">
        <v>82</v>
      </c>
      <c r="G22" s="339"/>
      <c r="H22" s="339"/>
      <c r="I22" s="339" t="s">
        <v>82</v>
      </c>
      <c r="J22" s="339"/>
    </row>
    <row r="23" spans="1:10" ht="15.75">
      <c r="A23" s="346" t="s">
        <v>110</v>
      </c>
      <c r="B23" s="344" t="s">
        <v>82</v>
      </c>
      <c r="C23" s="344" t="s">
        <v>82</v>
      </c>
      <c r="D23" s="344">
        <f>D20*D21*D22</f>
        <v>0</v>
      </c>
      <c r="E23" s="344" t="s">
        <v>82</v>
      </c>
      <c r="F23" s="344" t="s">
        <v>82</v>
      </c>
      <c r="G23" s="344">
        <f>G20*G21*G22</f>
        <v>0</v>
      </c>
      <c r="H23" s="344">
        <f>H20*H21*H22</f>
        <v>0</v>
      </c>
      <c r="I23" s="344" t="s">
        <v>82</v>
      </c>
      <c r="J23" s="344">
        <f>J20*J21*J22</f>
        <v>0</v>
      </c>
    </row>
    <row r="24" spans="1:10" ht="15" customHeight="1">
      <c r="A24" s="346" t="s">
        <v>113</v>
      </c>
      <c r="B24" s="2058">
        <f>C13+B18+C18+D23</f>
        <v>0</v>
      </c>
      <c r="C24" s="2059"/>
      <c r="D24" s="2060"/>
      <c r="E24" s="2058">
        <f>F13+E18+F18+G23</f>
        <v>0</v>
      </c>
      <c r="F24" s="2059"/>
      <c r="G24" s="2060"/>
      <c r="H24" s="344">
        <f>H13+H18+H23</f>
        <v>0</v>
      </c>
      <c r="I24" s="344" t="s">
        <v>82</v>
      </c>
      <c r="J24" s="344">
        <f>J13+J18+J23</f>
        <v>0</v>
      </c>
    </row>
    <row r="25" spans="1:10" ht="15.75">
      <c r="A25" s="339"/>
      <c r="B25" s="339"/>
      <c r="C25" s="339"/>
      <c r="D25" s="339"/>
      <c r="E25" s="339"/>
      <c r="F25" s="339"/>
      <c r="G25" s="339"/>
      <c r="H25" s="339"/>
      <c r="I25" s="339"/>
      <c r="J25" s="339"/>
    </row>
    <row r="26" spans="1:10" ht="31.5">
      <c r="A26" s="342" t="s">
        <v>114</v>
      </c>
      <c r="B26" s="339"/>
      <c r="C26" s="339"/>
      <c r="D26" s="339"/>
      <c r="E26" s="339"/>
      <c r="F26" s="339"/>
      <c r="G26" s="339"/>
      <c r="H26" s="339" t="s">
        <v>82</v>
      </c>
      <c r="I26" s="339"/>
      <c r="J26" s="339" t="s">
        <v>82</v>
      </c>
    </row>
    <row r="27" spans="1:10" ht="15.75">
      <c r="A27" s="342" t="s">
        <v>1732</v>
      </c>
      <c r="B27" s="339"/>
      <c r="C27" s="339"/>
      <c r="D27" s="339"/>
      <c r="E27" s="339"/>
      <c r="F27" s="339"/>
      <c r="G27" s="339"/>
      <c r="H27" s="339" t="s">
        <v>82</v>
      </c>
      <c r="I27" s="339"/>
      <c r="J27" s="339" t="s">
        <v>82</v>
      </c>
    </row>
    <row r="28" spans="1:10" ht="15.75">
      <c r="A28" s="342" t="s">
        <v>111</v>
      </c>
      <c r="B28" s="339"/>
      <c r="C28" s="339"/>
      <c r="D28" s="339"/>
      <c r="E28" s="339"/>
      <c r="F28" s="339"/>
      <c r="G28" s="339"/>
      <c r="H28" s="339" t="s">
        <v>82</v>
      </c>
      <c r="I28" s="339"/>
      <c r="J28" s="339" t="s">
        <v>82</v>
      </c>
    </row>
    <row r="29" spans="1:10" ht="15.75">
      <c r="A29" s="346" t="s">
        <v>115</v>
      </c>
      <c r="B29" s="344">
        <f t="shared" ref="B29:G29" si="0">B26*B27*B28</f>
        <v>0</v>
      </c>
      <c r="C29" s="344">
        <f t="shared" si="0"/>
        <v>0</v>
      </c>
      <c r="D29" s="344">
        <f t="shared" si="0"/>
        <v>0</v>
      </c>
      <c r="E29" s="344">
        <f t="shared" si="0"/>
        <v>0</v>
      </c>
      <c r="F29" s="344">
        <f t="shared" si="0"/>
        <v>0</v>
      </c>
      <c r="G29" s="344">
        <f t="shared" si="0"/>
        <v>0</v>
      </c>
      <c r="H29" s="344" t="s">
        <v>82</v>
      </c>
      <c r="I29" s="344">
        <f>I26*I27*I28</f>
        <v>0</v>
      </c>
      <c r="J29" s="344" t="s">
        <v>82</v>
      </c>
    </row>
    <row r="30" spans="1:10" ht="21" customHeight="1">
      <c r="A30" s="346"/>
      <c r="B30" s="339"/>
      <c r="C30" s="339"/>
      <c r="D30" s="339"/>
      <c r="E30" s="339"/>
      <c r="F30" s="339"/>
      <c r="G30" s="339"/>
      <c r="H30" s="339"/>
      <c r="I30" s="339"/>
      <c r="J30" s="339"/>
    </row>
    <row r="31" spans="1:10" ht="31.5">
      <c r="A31" s="342" t="s">
        <v>116</v>
      </c>
      <c r="B31" s="339"/>
      <c r="C31" s="339"/>
      <c r="D31" s="339"/>
      <c r="E31" s="339"/>
      <c r="F31" s="339"/>
      <c r="G31" s="339"/>
      <c r="H31" s="339" t="s">
        <v>82</v>
      </c>
      <c r="I31" s="339"/>
      <c r="J31" s="339"/>
    </row>
    <row r="32" spans="1:10" ht="47.25">
      <c r="A32" s="342" t="s">
        <v>117</v>
      </c>
      <c r="B32" s="339"/>
      <c r="C32" s="339"/>
      <c r="D32" s="339"/>
      <c r="E32" s="339"/>
      <c r="F32" s="339"/>
      <c r="G32" s="339"/>
      <c r="H32" s="339" t="s">
        <v>82</v>
      </c>
      <c r="I32" s="339"/>
      <c r="J32" s="339"/>
    </row>
    <row r="33" spans="1:17" ht="29.25" customHeight="1">
      <c r="A33" s="342" t="s">
        <v>118</v>
      </c>
      <c r="B33" s="344">
        <f t="shared" ref="B33:G33" si="1">B26*B31*B32</f>
        <v>0</v>
      </c>
      <c r="C33" s="344">
        <f t="shared" si="1"/>
        <v>0</v>
      </c>
      <c r="D33" s="344">
        <f t="shared" si="1"/>
        <v>0</v>
      </c>
      <c r="E33" s="344">
        <f t="shared" si="1"/>
        <v>0</v>
      </c>
      <c r="F33" s="344">
        <f t="shared" si="1"/>
        <v>0</v>
      </c>
      <c r="G33" s="344">
        <f t="shared" si="1"/>
        <v>0</v>
      </c>
      <c r="H33" s="344" t="s">
        <v>82</v>
      </c>
      <c r="I33" s="344">
        <f>I26*I31*I32</f>
        <v>0</v>
      </c>
      <c r="J33" s="344">
        <f>J31*J32*J20</f>
        <v>0</v>
      </c>
    </row>
    <row r="34" spans="1:17" ht="15" customHeight="1">
      <c r="A34" s="346" t="s">
        <v>115</v>
      </c>
      <c r="B34" s="2058">
        <f>B29+B33+C29+C33+D29+D33</f>
        <v>0</v>
      </c>
      <c r="C34" s="2059"/>
      <c r="D34" s="2060"/>
      <c r="E34" s="2058">
        <f>E29+E33+F29+F33+G29+G33</f>
        <v>0</v>
      </c>
      <c r="F34" s="2059"/>
      <c r="G34" s="2060"/>
      <c r="H34" s="344" t="s">
        <v>82</v>
      </c>
      <c r="I34" s="344">
        <f>I29+I33</f>
        <v>0</v>
      </c>
      <c r="J34" s="344" t="s">
        <v>82</v>
      </c>
    </row>
    <row r="35" spans="1:17" ht="15.75">
      <c r="A35" s="347"/>
      <c r="B35" s="348"/>
      <c r="C35" s="348"/>
      <c r="D35" s="348"/>
      <c r="E35" s="348"/>
      <c r="F35" s="348"/>
      <c r="G35" s="348"/>
      <c r="H35" s="349"/>
      <c r="I35" s="350"/>
      <c r="J35" s="350"/>
    </row>
    <row r="36" spans="1:17" ht="15" customHeight="1">
      <c r="A36" s="347" t="s">
        <v>1733</v>
      </c>
      <c r="B36" s="2068">
        <f>B34+B24</f>
        <v>0</v>
      </c>
      <c r="C36" s="2069"/>
      <c r="D36" s="2070"/>
      <c r="E36" s="2068">
        <f>F34+F24</f>
        <v>0</v>
      </c>
      <c r="F36" s="2069"/>
      <c r="G36" s="2070"/>
      <c r="H36" s="349">
        <f>H24</f>
        <v>0</v>
      </c>
      <c r="I36" s="349">
        <f>I34</f>
        <v>0</v>
      </c>
      <c r="J36" s="349">
        <f>J24+J33</f>
        <v>0</v>
      </c>
    </row>
    <row r="37" spans="1:17">
      <c r="A37" s="68"/>
      <c r="B37" s="68"/>
      <c r="C37" s="68"/>
      <c r="D37" s="68"/>
      <c r="E37" s="68"/>
      <c r="F37" s="68"/>
      <c r="G37" s="68"/>
      <c r="H37" s="68"/>
      <c r="I37" s="68"/>
      <c r="J37" s="68"/>
    </row>
    <row r="38" spans="1:17" s="527" customFormat="1" ht="15.75">
      <c r="A38" s="435" t="s">
        <v>1077</v>
      </c>
      <c r="B38" s="435"/>
      <c r="C38" s="528"/>
      <c r="D38" s="528"/>
      <c r="E38" s="528"/>
      <c r="F38" s="528"/>
      <c r="G38" s="528"/>
      <c r="H38" s="529"/>
      <c r="I38" s="528"/>
      <c r="J38" s="529"/>
      <c r="K38" s="528"/>
      <c r="L38" s="528"/>
      <c r="M38" s="522"/>
      <c r="N38" s="522"/>
      <c r="O38" s="528"/>
      <c r="P38" s="528"/>
      <c r="Q38" s="528"/>
    </row>
    <row r="39" spans="1:17" s="527" customFormat="1" ht="31.5" customHeight="1">
      <c r="A39" s="526"/>
      <c r="B39" s="526"/>
      <c r="C39" s="523"/>
      <c r="D39" s="524"/>
      <c r="E39" s="524"/>
      <c r="F39" s="524"/>
      <c r="G39" s="524"/>
      <c r="H39" s="523" t="s">
        <v>1078</v>
      </c>
      <c r="I39" s="524"/>
      <c r="J39" s="524" t="s">
        <v>1079</v>
      </c>
      <c r="K39" s="524"/>
      <c r="L39" s="524"/>
      <c r="M39" s="522"/>
      <c r="N39" s="522"/>
      <c r="O39" s="524"/>
      <c r="P39" s="524"/>
      <c r="Q39" s="524"/>
    </row>
    <row r="40" spans="1:17" s="527" customFormat="1" ht="15.75">
      <c r="A40" s="435" t="s">
        <v>1076</v>
      </c>
      <c r="B40" s="435"/>
      <c r="C40" s="528"/>
      <c r="D40" s="528"/>
      <c r="E40" s="528"/>
      <c r="F40" s="528"/>
      <c r="G40" s="528"/>
      <c r="H40" s="529"/>
      <c r="I40" s="528"/>
      <c r="J40" s="529"/>
      <c r="K40" s="528"/>
      <c r="L40" s="528"/>
      <c r="M40" s="522"/>
      <c r="N40" s="522"/>
      <c r="O40" s="528"/>
      <c r="P40" s="528"/>
      <c r="Q40" s="528"/>
    </row>
    <row r="41" spans="1:17" s="527" customFormat="1" ht="31.5" customHeight="1">
      <c r="B41" s="526"/>
      <c r="C41" s="523"/>
      <c r="D41" s="524"/>
      <c r="E41" s="524"/>
      <c r="F41" s="524"/>
      <c r="G41" s="524"/>
      <c r="H41" s="523" t="s">
        <v>1078</v>
      </c>
      <c r="I41" s="524"/>
      <c r="J41" s="524" t="s">
        <v>1079</v>
      </c>
      <c r="K41" s="524"/>
      <c r="L41" s="524"/>
      <c r="M41" s="522"/>
      <c r="N41" s="522"/>
      <c r="O41" s="524"/>
      <c r="P41" s="524"/>
      <c r="Q41" s="524"/>
    </row>
  </sheetData>
  <customSheetViews>
    <customSheetView guid="{CA0FB9E2-E541-4C74-BCFE-D75491869B36}" showPageBreaks="1" topLeftCell="A16">
      <selection activeCell="J39" sqref="J39"/>
      <pageMargins left="1.1023622047244095" right="0.31496062992125984" top="0.55118110236220474" bottom="0.55118110236220474" header="0.31496062992125984" footer="0.31496062992125984"/>
      <pageSetup paperSize="9" scale="85" orientation="landscape" r:id="rId1"/>
    </customSheetView>
    <customSheetView guid="{F10E3D8B-5892-420A-B023-68C6496D556B}" showPageBreaks="1">
      <selection activeCell="H7" sqref="H7"/>
      <pageMargins left="0.31496062992125984" right="0.31496062992125984" top="0.55118110236220474" bottom="0.55118110236220474" header="0.31496062992125984" footer="0.31496062992125984"/>
      <pageSetup paperSize="9" scale="70" orientation="portrait" r:id="rId2"/>
    </customSheetView>
    <customSheetView guid="{FE7E58EF-FECC-4DF6-BB75-BA97138CB219}" showPageBreaks="1">
      <selection activeCell="H7" sqref="H7"/>
      <pageMargins left="0.31496062992125984" right="0.31496062992125984" top="0.55118110236220474" bottom="0.55118110236220474" header="0.31496062992125984" footer="0.31496062992125984"/>
      <pageSetup paperSize="9" scale="70" orientation="portrait" r:id="rId3"/>
    </customSheetView>
    <customSheetView guid="{43136B00-66C6-4289-99D3-5EF20611F834}" showPageBreaks="1" topLeftCell="A16">
      <selection activeCell="A38" sqref="A38:IV41"/>
      <pageMargins left="1.1023622047244095" right="0.31496062992125984" top="0.55118110236220474" bottom="0.55118110236220474" header="0.31496062992125984" footer="0.31496062992125984"/>
      <pageSetup paperSize="9" scale="85" orientation="landscape" r:id="rId4"/>
    </customSheetView>
    <customSheetView guid="{22820B9F-10DE-4629-AF3D-4AF98A9BCEDB}" showPageBreaks="1" topLeftCell="A16">
      <selection activeCell="A38" sqref="A38:IV41"/>
      <pageMargins left="1.1023622047244095" right="0.31496062992125984" top="0.55118110236220474" bottom="0.55118110236220474" header="0.31496062992125984" footer="0.31496062992125984"/>
      <pageSetup paperSize="9" scale="85" orientation="landscape" r:id="rId5"/>
    </customSheetView>
  </customSheetViews>
  <mergeCells count="11">
    <mergeCell ref="B36:D36"/>
    <mergeCell ref="E36:G36"/>
    <mergeCell ref="B34:D34"/>
    <mergeCell ref="E34:G34"/>
    <mergeCell ref="A3:J3"/>
    <mergeCell ref="B24:D24"/>
    <mergeCell ref="E24:G24"/>
    <mergeCell ref="A5:A7"/>
    <mergeCell ref="B5:J5"/>
    <mergeCell ref="B6:D6"/>
    <mergeCell ref="E6:G6"/>
  </mergeCells>
  <phoneticPr fontId="116" type="noConversion"/>
  <pageMargins left="1.1023622047244095" right="0.31496062992125984" top="0.55118110236220474" bottom="0.55118110236220474" header="0.31496062992125984" footer="0.31496062992125984"/>
  <pageSetup paperSize="9" scale="85" orientation="landscape" r:id="rId6"/>
</worksheet>
</file>

<file path=xl/worksheets/sheet9.xml><?xml version="1.0" encoding="utf-8"?>
<worksheet xmlns="http://schemas.openxmlformats.org/spreadsheetml/2006/main" xmlns:r="http://schemas.openxmlformats.org/officeDocument/2006/relationships">
  <sheetPr codeName="Лист60">
    <tabColor rgb="FFFF0000"/>
    <pageSetUpPr fitToPage="1"/>
  </sheetPr>
  <dimension ref="A1:L49"/>
  <sheetViews>
    <sheetView view="pageBreakPreview" zoomScale="73" zoomScaleNormal="100" zoomScaleSheetLayoutView="73" workbookViewId="0">
      <selection activeCell="E16" sqref="E16"/>
    </sheetView>
  </sheetViews>
  <sheetFormatPr defaultRowHeight="12.75"/>
  <cols>
    <col min="1" max="1" width="20.7109375" style="154" customWidth="1"/>
    <col min="2" max="2" width="15.5703125" style="154" customWidth="1"/>
    <col min="3" max="3" width="16.42578125" style="154" customWidth="1"/>
    <col min="4" max="4" width="19.140625" style="154" customWidth="1"/>
    <col min="5" max="12" width="20.7109375" style="154" customWidth="1"/>
    <col min="13" max="16384" width="9.140625" style="154"/>
  </cols>
  <sheetData>
    <row r="1" spans="1:12" ht="15.75">
      <c r="A1" s="151" t="s">
        <v>1848</v>
      </c>
      <c r="B1" s="151"/>
      <c r="C1" s="151"/>
      <c r="D1" s="151"/>
      <c r="E1" s="159"/>
      <c r="F1" s="151"/>
      <c r="G1" s="151"/>
      <c r="H1" s="151"/>
      <c r="I1" s="120"/>
      <c r="J1" s="120"/>
      <c r="K1" s="1508" t="s">
        <v>27</v>
      </c>
      <c r="L1" s="1508"/>
    </row>
    <row r="2" spans="1:12" ht="15">
      <c r="A2" s="151"/>
      <c r="B2" s="151"/>
      <c r="C2" s="151"/>
      <c r="D2" s="151"/>
      <c r="E2" s="159"/>
      <c r="F2" s="151"/>
      <c r="G2" s="151"/>
      <c r="H2" s="151"/>
      <c r="I2" s="151"/>
      <c r="J2" s="151"/>
      <c r="K2" s="151"/>
      <c r="L2" s="151"/>
    </row>
    <row r="3" spans="1:12" s="576" customFormat="1" ht="49.5" customHeight="1">
      <c r="A3" s="1509" t="s">
        <v>1494</v>
      </c>
      <c r="B3" s="1509"/>
      <c r="C3" s="1509"/>
      <c r="D3" s="1509"/>
      <c r="E3" s="1509"/>
      <c r="F3" s="1509"/>
      <c r="G3" s="1509"/>
      <c r="H3" s="1509"/>
      <c r="I3" s="1509"/>
      <c r="J3" s="1509"/>
      <c r="K3" s="1509"/>
      <c r="L3" s="1509"/>
    </row>
    <row r="4" spans="1:12" ht="15">
      <c r="A4" s="1510"/>
      <c r="B4" s="1510"/>
      <c r="C4" s="1510"/>
      <c r="D4" s="1510"/>
      <c r="E4" s="1510"/>
      <c r="F4" s="1510"/>
      <c r="G4" s="1510"/>
      <c r="H4" s="1510"/>
      <c r="I4" s="1510"/>
      <c r="J4" s="1510"/>
      <c r="K4" s="151"/>
      <c r="L4" s="151"/>
    </row>
    <row r="5" spans="1:12" ht="15" customHeight="1">
      <c r="A5" s="1511" t="s">
        <v>1300</v>
      </c>
      <c r="B5" s="1511" t="s">
        <v>709</v>
      </c>
      <c r="C5" s="1511" t="s">
        <v>20</v>
      </c>
      <c r="D5" s="1512" t="s">
        <v>21</v>
      </c>
      <c r="E5" s="1512"/>
      <c r="F5" s="1512"/>
      <c r="G5" s="1512"/>
      <c r="H5" s="1512"/>
      <c r="I5" s="1512"/>
      <c r="J5" s="1512"/>
      <c r="K5" s="1512"/>
      <c r="L5" s="1512"/>
    </row>
    <row r="6" spans="1:12" ht="23.25" customHeight="1">
      <c r="A6" s="1511"/>
      <c r="B6" s="1511"/>
      <c r="C6" s="1511"/>
      <c r="D6" s="1512" t="s">
        <v>22</v>
      </c>
      <c r="E6" s="1512"/>
      <c r="F6" s="1512"/>
      <c r="G6" s="1512" t="s">
        <v>1295</v>
      </c>
      <c r="H6" s="1512"/>
      <c r="I6" s="1512"/>
      <c r="J6" s="1512"/>
      <c r="K6" s="1512"/>
      <c r="L6" s="1512"/>
    </row>
    <row r="7" spans="1:12" ht="63.75" customHeight="1">
      <c r="A7" s="1511"/>
      <c r="B7" s="1511"/>
      <c r="C7" s="1511"/>
      <c r="D7" s="1512"/>
      <c r="E7" s="1512"/>
      <c r="F7" s="1512"/>
      <c r="G7" s="1507" t="s">
        <v>1003</v>
      </c>
      <c r="H7" s="1507"/>
      <c r="I7" s="1507"/>
      <c r="J7" s="1507" t="s">
        <v>1004</v>
      </c>
      <c r="K7" s="1507"/>
      <c r="L7" s="1507"/>
    </row>
    <row r="8" spans="1:12" ht="49.5" customHeight="1">
      <c r="A8" s="1511"/>
      <c r="B8" s="1511"/>
      <c r="C8" s="1511"/>
      <c r="D8" s="239" t="s">
        <v>138</v>
      </c>
      <c r="E8" s="239" t="s">
        <v>139</v>
      </c>
      <c r="F8" s="239" t="s">
        <v>140</v>
      </c>
      <c r="G8" s="239" t="s">
        <v>138</v>
      </c>
      <c r="H8" s="239" t="s">
        <v>139</v>
      </c>
      <c r="I8" s="239" t="s">
        <v>140</v>
      </c>
      <c r="J8" s="239" t="s">
        <v>138</v>
      </c>
      <c r="K8" s="239" t="s">
        <v>139</v>
      </c>
      <c r="L8" s="239" t="s">
        <v>140</v>
      </c>
    </row>
    <row r="9" spans="1:12" ht="15.75">
      <c r="A9" s="228">
        <v>1</v>
      </c>
      <c r="B9" s="228">
        <v>2</v>
      </c>
      <c r="C9" s="228">
        <v>3</v>
      </c>
      <c r="D9" s="228">
        <v>4</v>
      </c>
      <c r="E9" s="228">
        <v>5</v>
      </c>
      <c r="F9" s="228">
        <v>6</v>
      </c>
      <c r="G9" s="228">
        <v>7</v>
      </c>
      <c r="H9" s="228">
        <v>8</v>
      </c>
      <c r="I9" s="228">
        <v>9</v>
      </c>
      <c r="J9" s="228">
        <v>10</v>
      </c>
      <c r="K9" s="228">
        <v>11</v>
      </c>
      <c r="L9" s="228">
        <v>12</v>
      </c>
    </row>
    <row r="10" spans="1:12" s="580" customFormat="1" ht="78.75">
      <c r="A10" s="578" t="s">
        <v>24</v>
      </c>
      <c r="B10" s="579">
        <v>1</v>
      </c>
      <c r="C10" s="285" t="s">
        <v>712</v>
      </c>
      <c r="D10" s="722">
        <f>D11+D15</f>
        <v>9926117.5</v>
      </c>
      <c r="E10" s="581">
        <f t="shared" ref="E10:L10" si="0">E11+E15</f>
        <v>9407890.459999999</v>
      </c>
      <c r="F10" s="581">
        <f t="shared" si="0"/>
        <v>9407890.459999999</v>
      </c>
      <c r="G10" s="581">
        <f>G11+G15</f>
        <v>9926117.5</v>
      </c>
      <c r="H10" s="581">
        <f t="shared" si="0"/>
        <v>9407890.459999999</v>
      </c>
      <c r="I10" s="581">
        <f t="shared" si="0"/>
        <v>9407890.459999999</v>
      </c>
      <c r="J10" s="581">
        <f t="shared" si="0"/>
        <v>0</v>
      </c>
      <c r="K10" s="581">
        <f t="shared" si="0"/>
        <v>0</v>
      </c>
      <c r="L10" s="581">
        <f t="shared" si="0"/>
        <v>0</v>
      </c>
    </row>
    <row r="11" spans="1:12" ht="15.75">
      <c r="A11" s="1522" t="s">
        <v>25</v>
      </c>
      <c r="B11" s="1519">
        <v>1001</v>
      </c>
      <c r="C11" s="228" t="s">
        <v>712</v>
      </c>
      <c r="D11" s="329">
        <f>D12</f>
        <v>0</v>
      </c>
      <c r="E11" s="329">
        <f t="shared" ref="E11:L11" si="1">E12</f>
        <v>0</v>
      </c>
      <c r="F11" s="329">
        <f t="shared" si="1"/>
        <v>0</v>
      </c>
      <c r="G11" s="329">
        <f>G12</f>
        <v>0</v>
      </c>
      <c r="H11" s="329">
        <f>H12</f>
        <v>0</v>
      </c>
      <c r="I11" s="329">
        <f>I12</f>
        <v>0</v>
      </c>
      <c r="J11" s="329">
        <f t="shared" si="1"/>
        <v>0</v>
      </c>
      <c r="K11" s="329">
        <f t="shared" si="1"/>
        <v>0</v>
      </c>
      <c r="L11" s="329">
        <f t="shared" si="1"/>
        <v>0</v>
      </c>
    </row>
    <row r="12" spans="1:12" ht="63">
      <c r="A12" s="1523"/>
      <c r="B12" s="1520"/>
      <c r="C12" s="239" t="s">
        <v>138</v>
      </c>
      <c r="D12" s="609">
        <v>0</v>
      </c>
      <c r="E12" s="609">
        <v>0</v>
      </c>
      <c r="F12" s="609">
        <v>0</v>
      </c>
      <c r="G12" s="609">
        <f>D12</f>
        <v>0</v>
      </c>
      <c r="H12" s="329">
        <v>0</v>
      </c>
      <c r="I12" s="329">
        <v>0</v>
      </c>
      <c r="J12" s="329">
        <v>0</v>
      </c>
      <c r="K12" s="329">
        <v>0</v>
      </c>
      <c r="L12" s="329">
        <v>0</v>
      </c>
    </row>
    <row r="13" spans="1:12" ht="47.25" hidden="1">
      <c r="A13" s="1523"/>
      <c r="B13" s="1520"/>
      <c r="C13" s="577" t="s">
        <v>23</v>
      </c>
      <c r="D13" s="609"/>
      <c r="E13" s="609"/>
      <c r="F13" s="609"/>
      <c r="G13" s="609"/>
      <c r="H13" s="329"/>
      <c r="I13" s="329"/>
      <c r="J13" s="329"/>
      <c r="K13" s="329"/>
      <c r="L13" s="329"/>
    </row>
    <row r="14" spans="1:12" ht="47.25" hidden="1">
      <c r="A14" s="1524"/>
      <c r="B14" s="1521"/>
      <c r="C14" s="577" t="s">
        <v>23</v>
      </c>
      <c r="D14" s="609"/>
      <c r="E14" s="609"/>
      <c r="F14" s="609"/>
      <c r="G14" s="609"/>
      <c r="H14" s="329"/>
      <c r="I14" s="329"/>
      <c r="J14" s="329"/>
      <c r="K14" s="329"/>
      <c r="L14" s="329"/>
    </row>
    <row r="15" spans="1:12" ht="15.75">
      <c r="A15" s="1513" t="s">
        <v>26</v>
      </c>
      <c r="B15" s="1516">
        <v>2001</v>
      </c>
      <c r="C15" s="228" t="s">
        <v>712</v>
      </c>
      <c r="D15" s="609">
        <f>D16</f>
        <v>9926117.5</v>
      </c>
      <c r="E15" s="609">
        <f>E17</f>
        <v>9407890.459999999</v>
      </c>
      <c r="F15" s="609">
        <f>F18</f>
        <v>9407890.459999999</v>
      </c>
      <c r="G15" s="609">
        <f>G16</f>
        <v>9926117.5</v>
      </c>
      <c r="H15" s="329">
        <f>H17</f>
        <v>9407890.459999999</v>
      </c>
      <c r="I15" s="329">
        <f>I18</f>
        <v>9407890.459999999</v>
      </c>
      <c r="J15" s="329">
        <f>J16</f>
        <v>0</v>
      </c>
      <c r="K15" s="329">
        <f>K17</f>
        <v>0</v>
      </c>
      <c r="L15" s="329">
        <f>L18</f>
        <v>0</v>
      </c>
    </row>
    <row r="16" spans="1:12" ht="63">
      <c r="A16" s="1514"/>
      <c r="B16" s="1517"/>
      <c r="C16" s="239" t="s">
        <v>138</v>
      </c>
      <c r="D16" s="609">
        <f ca="1">'Таблица № 2'!H65+'Таблица № 2'!H88+'Таблица № 2'!H122+'Таблица № 2'!H232+'Таблица № 2'!H156-D11</f>
        <v>9926117.5</v>
      </c>
      <c r="E16" s="609" t="s">
        <v>712</v>
      </c>
      <c r="F16" s="609" t="s">
        <v>712</v>
      </c>
      <c r="G16" s="609">
        <f>D16</f>
        <v>9926117.5</v>
      </c>
      <c r="H16" s="329" t="s">
        <v>712</v>
      </c>
      <c r="I16" s="329" t="s">
        <v>712</v>
      </c>
      <c r="J16" s="329">
        <v>0</v>
      </c>
      <c r="K16" s="329" t="s">
        <v>712</v>
      </c>
      <c r="L16" s="329" t="s">
        <v>712</v>
      </c>
    </row>
    <row r="17" spans="1:12" ht="47.25">
      <c r="A17" s="1514"/>
      <c r="B17" s="1517"/>
      <c r="C17" s="239" t="s">
        <v>139</v>
      </c>
      <c r="D17" s="609" t="s">
        <v>712</v>
      </c>
      <c r="E17" s="609">
        <f ca="1">'Таблица № 2'!I65+'Таблица № 2'!I88+'Таблица № 2'!I122+'Таблица № 2'!I232</f>
        <v>9407890.459999999</v>
      </c>
      <c r="F17" s="609" t="s">
        <v>712</v>
      </c>
      <c r="G17" s="609" t="s">
        <v>712</v>
      </c>
      <c r="H17" s="329">
        <f>E17</f>
        <v>9407890.459999999</v>
      </c>
      <c r="I17" s="329" t="s">
        <v>712</v>
      </c>
      <c r="J17" s="329" t="s">
        <v>712</v>
      </c>
      <c r="K17" s="329">
        <v>0</v>
      </c>
      <c r="L17" s="329" t="s">
        <v>712</v>
      </c>
    </row>
    <row r="18" spans="1:12" ht="47.25">
      <c r="A18" s="1515"/>
      <c r="B18" s="1518"/>
      <c r="C18" s="239" t="s">
        <v>141</v>
      </c>
      <c r="D18" s="609" t="s">
        <v>712</v>
      </c>
      <c r="E18" s="609" t="s">
        <v>712</v>
      </c>
      <c r="F18" s="609">
        <f ca="1">'Таблица № 2'!J65+'Таблица № 2'!J88+'Таблица № 2'!J122+'Таблица № 2'!J232</f>
        <v>9407890.459999999</v>
      </c>
      <c r="G18" s="609" t="s">
        <v>712</v>
      </c>
      <c r="H18" s="329" t="s">
        <v>712</v>
      </c>
      <c r="I18" s="329">
        <f>F18</f>
        <v>9407890.459999999</v>
      </c>
      <c r="J18" s="329" t="s">
        <v>712</v>
      </c>
      <c r="K18" s="329" t="s">
        <v>712</v>
      </c>
      <c r="L18" s="329">
        <v>0</v>
      </c>
    </row>
    <row r="19" spans="1:12" ht="15">
      <c r="A19" s="151"/>
      <c r="B19" s="151"/>
      <c r="C19" s="151"/>
      <c r="D19" s="151"/>
      <c r="E19" s="159"/>
      <c r="F19" s="151"/>
      <c r="G19" s="151"/>
      <c r="H19" s="151"/>
      <c r="I19" s="151"/>
      <c r="J19" s="151"/>
      <c r="K19" s="151"/>
      <c r="L19" s="151"/>
    </row>
    <row r="20" spans="1:12" ht="15">
      <c r="A20" s="151"/>
      <c r="B20" s="151"/>
      <c r="C20" s="151"/>
      <c r="D20" s="151"/>
      <c r="E20" s="159"/>
      <c r="F20" s="151"/>
      <c r="G20" s="151"/>
      <c r="H20" s="151"/>
      <c r="I20" s="151"/>
      <c r="J20" s="151"/>
      <c r="K20" s="151"/>
      <c r="L20" s="151"/>
    </row>
    <row r="21" spans="1:12" ht="15">
      <c r="A21" s="151"/>
      <c r="B21" s="151"/>
      <c r="C21" s="151"/>
      <c r="D21" s="151"/>
      <c r="E21" s="159"/>
      <c r="F21" s="151"/>
      <c r="G21" s="151"/>
      <c r="H21" s="151"/>
      <c r="I21" s="151"/>
      <c r="J21" s="151"/>
      <c r="K21" s="151"/>
      <c r="L21" s="151"/>
    </row>
    <row r="22" spans="1:12" ht="15">
      <c r="A22" s="151"/>
      <c r="B22" s="151"/>
      <c r="C22" s="151"/>
      <c r="D22" s="151"/>
      <c r="E22" s="159"/>
      <c r="F22" s="151"/>
      <c r="G22" s="151"/>
      <c r="H22" s="151"/>
      <c r="I22" s="151"/>
      <c r="J22" s="151"/>
      <c r="K22" s="151"/>
      <c r="L22" s="151"/>
    </row>
    <row r="23" spans="1:12" ht="15">
      <c r="A23" s="151"/>
      <c r="B23" s="151"/>
      <c r="C23" s="151"/>
      <c r="D23" s="151"/>
      <c r="E23" s="159"/>
      <c r="F23" s="151"/>
      <c r="G23" s="151"/>
      <c r="H23" s="151"/>
      <c r="I23" s="151"/>
      <c r="J23" s="151"/>
      <c r="K23" s="151"/>
      <c r="L23" s="151"/>
    </row>
    <row r="24" spans="1:12" ht="15">
      <c r="A24" s="151"/>
      <c r="B24" s="151"/>
      <c r="C24" s="151"/>
      <c r="D24" s="151"/>
      <c r="E24" s="159"/>
      <c r="F24" s="151"/>
      <c r="G24" s="151"/>
      <c r="H24" s="151"/>
      <c r="I24" s="151"/>
      <c r="J24" s="151"/>
      <c r="K24" s="151"/>
      <c r="L24" s="151"/>
    </row>
    <row r="25" spans="1:12" ht="15">
      <c r="A25" s="151"/>
      <c r="B25" s="151"/>
      <c r="C25" s="151"/>
      <c r="D25" s="151"/>
      <c r="E25" s="159"/>
      <c r="F25" s="151"/>
      <c r="G25" s="151"/>
      <c r="H25" s="151"/>
      <c r="I25" s="151"/>
      <c r="J25" s="151"/>
      <c r="K25" s="151"/>
      <c r="L25" s="151"/>
    </row>
    <row r="26" spans="1:12" ht="15">
      <c r="A26" s="151"/>
      <c r="B26" s="151"/>
      <c r="C26" s="151"/>
      <c r="D26" s="151"/>
      <c r="E26" s="159"/>
      <c r="F26" s="151"/>
      <c r="G26" s="151"/>
      <c r="H26" s="151"/>
      <c r="I26" s="151"/>
      <c r="J26" s="151"/>
      <c r="K26" s="151"/>
      <c r="L26" s="151"/>
    </row>
    <row r="27" spans="1:12" ht="15">
      <c r="A27" s="151"/>
      <c r="B27" s="151"/>
      <c r="C27" s="151"/>
      <c r="D27" s="151"/>
      <c r="E27" s="159"/>
      <c r="F27" s="151"/>
      <c r="G27" s="151"/>
      <c r="H27" s="151"/>
      <c r="I27" s="151"/>
      <c r="J27" s="151"/>
      <c r="K27" s="151"/>
      <c r="L27" s="151"/>
    </row>
    <row r="28" spans="1:12" ht="15">
      <c r="A28" s="151"/>
      <c r="B28" s="151"/>
      <c r="C28" s="151"/>
      <c r="D28" s="151"/>
      <c r="E28" s="159"/>
      <c r="F28" s="151"/>
      <c r="G28" s="151"/>
      <c r="H28" s="151"/>
      <c r="I28" s="151"/>
      <c r="J28" s="151"/>
      <c r="K28" s="151"/>
      <c r="L28" s="151"/>
    </row>
    <row r="29" spans="1:12" ht="15">
      <c r="A29" s="151"/>
      <c r="B29" s="151"/>
      <c r="C29" s="151"/>
      <c r="D29" s="151"/>
      <c r="E29" s="159"/>
      <c r="F29" s="151"/>
      <c r="G29" s="151"/>
      <c r="H29" s="151"/>
      <c r="I29" s="151"/>
      <c r="J29" s="151"/>
      <c r="K29" s="151"/>
      <c r="L29" s="151"/>
    </row>
    <row r="30" spans="1:12" ht="15">
      <c r="A30" s="151"/>
      <c r="B30" s="151"/>
      <c r="C30" s="151"/>
      <c r="D30" s="151"/>
      <c r="E30" s="159"/>
      <c r="F30" s="151"/>
      <c r="G30" s="151"/>
      <c r="H30" s="151"/>
      <c r="I30" s="151"/>
      <c r="J30" s="151"/>
      <c r="K30" s="151"/>
      <c r="L30" s="151"/>
    </row>
    <row r="31" spans="1:12" ht="15">
      <c r="A31" s="151"/>
      <c r="B31" s="151"/>
      <c r="C31" s="151"/>
      <c r="D31" s="151"/>
      <c r="E31" s="159"/>
      <c r="F31" s="151"/>
      <c r="G31" s="151"/>
      <c r="H31" s="151"/>
      <c r="I31" s="151"/>
      <c r="J31" s="151"/>
      <c r="K31" s="151"/>
      <c r="L31" s="151"/>
    </row>
    <row r="32" spans="1:12" ht="15">
      <c r="A32" s="151"/>
      <c r="B32" s="151"/>
      <c r="C32" s="151"/>
      <c r="D32" s="151"/>
      <c r="E32" s="159"/>
      <c r="F32" s="151"/>
      <c r="G32" s="151"/>
      <c r="H32" s="151"/>
      <c r="I32" s="151"/>
      <c r="J32" s="151"/>
      <c r="K32" s="151"/>
      <c r="L32" s="151"/>
    </row>
    <row r="33" spans="1:12" ht="15">
      <c r="A33" s="151"/>
      <c r="B33" s="151"/>
      <c r="C33" s="151"/>
      <c r="D33" s="151"/>
      <c r="E33" s="159"/>
      <c r="F33" s="151"/>
      <c r="G33" s="151"/>
      <c r="H33" s="151"/>
      <c r="I33" s="151"/>
      <c r="J33" s="151"/>
      <c r="K33" s="151"/>
      <c r="L33" s="151"/>
    </row>
    <row r="34" spans="1:12" ht="15">
      <c r="A34" s="151"/>
      <c r="B34" s="151"/>
      <c r="C34" s="151"/>
      <c r="D34" s="151"/>
      <c r="E34" s="159"/>
      <c r="F34" s="151"/>
      <c r="G34" s="151"/>
      <c r="H34" s="151"/>
      <c r="I34" s="151"/>
      <c r="J34" s="151"/>
      <c r="K34" s="151"/>
      <c r="L34" s="151"/>
    </row>
    <row r="35" spans="1:12" ht="15">
      <c r="A35" s="151"/>
      <c r="B35" s="151"/>
      <c r="C35" s="151"/>
      <c r="D35" s="151"/>
      <c r="E35" s="159"/>
      <c r="F35" s="151"/>
      <c r="G35" s="151"/>
      <c r="H35" s="151"/>
      <c r="I35" s="151"/>
      <c r="J35" s="151"/>
      <c r="K35" s="151"/>
      <c r="L35" s="151"/>
    </row>
    <row r="36" spans="1:12" ht="15">
      <c r="A36" s="151"/>
      <c r="B36" s="151"/>
      <c r="C36" s="151"/>
      <c r="D36" s="151"/>
      <c r="E36" s="159"/>
      <c r="F36" s="151"/>
      <c r="G36" s="151"/>
      <c r="H36" s="151"/>
      <c r="I36" s="151"/>
      <c r="J36" s="151"/>
      <c r="K36" s="151"/>
      <c r="L36" s="151"/>
    </row>
    <row r="37" spans="1:12" ht="15">
      <c r="A37" s="151"/>
      <c r="B37" s="151"/>
      <c r="C37" s="151"/>
      <c r="D37" s="151"/>
      <c r="E37" s="159"/>
      <c r="F37" s="151"/>
      <c r="G37" s="151"/>
      <c r="H37" s="151"/>
      <c r="I37" s="151"/>
      <c r="J37" s="151"/>
      <c r="K37" s="151"/>
      <c r="L37" s="151"/>
    </row>
    <row r="38" spans="1:12" ht="15">
      <c r="A38" s="151"/>
      <c r="B38" s="151"/>
      <c r="C38" s="151"/>
      <c r="D38" s="151"/>
      <c r="E38" s="159"/>
      <c r="F38" s="151"/>
      <c r="G38" s="151"/>
      <c r="H38" s="151"/>
      <c r="I38" s="151"/>
      <c r="J38" s="151"/>
      <c r="K38" s="151"/>
      <c r="L38" s="151"/>
    </row>
    <row r="39" spans="1:12" ht="15">
      <c r="A39" s="151"/>
      <c r="B39" s="151"/>
      <c r="C39" s="151"/>
      <c r="D39" s="151"/>
      <c r="E39" s="159"/>
      <c r="F39" s="151"/>
      <c r="G39" s="151"/>
      <c r="H39" s="151"/>
      <c r="I39" s="151"/>
      <c r="J39" s="151"/>
      <c r="K39" s="151"/>
      <c r="L39" s="151"/>
    </row>
    <row r="40" spans="1:12" ht="15">
      <c r="A40" s="151"/>
      <c r="B40" s="151"/>
      <c r="C40" s="151"/>
      <c r="D40" s="151"/>
      <c r="E40" s="84"/>
      <c r="F40" s="151"/>
      <c r="G40" s="151"/>
      <c r="H40" s="151"/>
      <c r="I40" s="151"/>
      <c r="J40" s="151"/>
      <c r="K40" s="151"/>
      <c r="L40" s="151"/>
    </row>
    <row r="41" spans="1:12" ht="15">
      <c r="A41" s="151"/>
      <c r="B41" s="151"/>
      <c r="C41" s="151"/>
      <c r="D41" s="151"/>
      <c r="E41" s="84"/>
      <c r="F41" s="151"/>
      <c r="G41" s="151"/>
      <c r="H41" s="151"/>
      <c r="I41" s="151"/>
      <c r="J41" s="151"/>
      <c r="K41" s="151"/>
      <c r="L41" s="151"/>
    </row>
    <row r="42" spans="1:12" ht="15">
      <c r="A42" s="151"/>
      <c r="B42" s="151"/>
      <c r="C42" s="151"/>
      <c r="D42" s="151"/>
      <c r="E42" s="84"/>
      <c r="F42" s="151"/>
      <c r="G42" s="151"/>
      <c r="H42" s="151"/>
      <c r="I42" s="151"/>
      <c r="J42" s="151"/>
      <c r="K42" s="151"/>
      <c r="L42" s="151"/>
    </row>
    <row r="43" spans="1:12" ht="15">
      <c r="A43" s="151"/>
      <c r="B43" s="151"/>
      <c r="C43" s="151"/>
      <c r="D43" s="151"/>
      <c r="E43" s="84"/>
      <c r="F43" s="151"/>
      <c r="G43" s="151"/>
      <c r="H43" s="151"/>
      <c r="I43" s="151"/>
      <c r="J43" s="151"/>
      <c r="K43" s="151"/>
      <c r="L43" s="151"/>
    </row>
    <row r="44" spans="1:12" ht="15">
      <c r="A44" s="151"/>
      <c r="B44" s="151"/>
      <c r="C44" s="151"/>
      <c r="D44" s="151"/>
      <c r="E44" s="84"/>
      <c r="F44" s="151"/>
      <c r="G44" s="151"/>
      <c r="H44" s="151"/>
      <c r="I44" s="151"/>
      <c r="J44" s="151"/>
      <c r="K44" s="151"/>
      <c r="L44" s="151"/>
    </row>
    <row r="45" spans="1:12" ht="15">
      <c r="A45" s="151"/>
      <c r="B45" s="151"/>
      <c r="C45" s="151"/>
      <c r="D45" s="151"/>
      <c r="E45" s="84"/>
      <c r="F45" s="151"/>
      <c r="G45" s="151"/>
      <c r="H45" s="151"/>
      <c r="I45" s="151"/>
      <c r="J45" s="151"/>
      <c r="K45" s="151"/>
      <c r="L45" s="151"/>
    </row>
    <row r="46" spans="1:12" ht="15">
      <c r="A46" s="151"/>
      <c r="B46" s="151"/>
      <c r="C46" s="151"/>
      <c r="D46" s="151"/>
      <c r="E46" s="84"/>
      <c r="F46" s="151"/>
      <c r="G46" s="151"/>
      <c r="H46" s="151"/>
      <c r="I46" s="151"/>
      <c r="J46" s="151"/>
      <c r="K46" s="151"/>
      <c r="L46" s="151"/>
    </row>
    <row r="47" spans="1:12" ht="15">
      <c r="A47" s="151"/>
      <c r="B47" s="151"/>
      <c r="C47" s="151"/>
      <c r="D47" s="151"/>
      <c r="E47" s="84"/>
      <c r="F47" s="151"/>
      <c r="G47" s="151"/>
      <c r="H47" s="151"/>
      <c r="I47" s="151"/>
      <c r="J47" s="151"/>
      <c r="K47" s="151"/>
      <c r="L47" s="151"/>
    </row>
    <row r="48" spans="1:12" ht="15">
      <c r="A48" s="151"/>
      <c r="B48" s="151"/>
      <c r="C48" s="151"/>
      <c r="D48" s="151"/>
      <c r="E48" s="84"/>
      <c r="F48" s="151"/>
      <c r="G48" s="151"/>
      <c r="H48" s="151"/>
      <c r="I48" s="151"/>
      <c r="J48" s="151"/>
      <c r="K48" s="151"/>
      <c r="L48" s="151"/>
    </row>
    <row r="49" spans="1:12" ht="15">
      <c r="A49" s="151"/>
      <c r="B49" s="151"/>
      <c r="C49" s="151"/>
      <c r="D49" s="151"/>
      <c r="E49" s="84"/>
      <c r="F49" s="151"/>
      <c r="G49" s="151"/>
      <c r="H49" s="151"/>
      <c r="I49" s="151"/>
      <c r="J49" s="151"/>
      <c r="K49" s="151"/>
      <c r="L49" s="151"/>
    </row>
  </sheetData>
  <customSheetViews>
    <customSheetView guid="{CA0FB9E2-E541-4C74-BCFE-D75491869B36}" scale="80" showPageBreaks="1" fitToPage="1" view="pageBreakPreview" topLeftCell="A10">
      <selection activeCell="A11" sqref="A11:A14"/>
      <pageMargins left="0.23" right="0.39370078740157483" top="0.59055118110236227" bottom="0.59055118110236227" header="0.31496062992125984" footer="0.31496062992125984"/>
      <pageSetup paperSize="9" scale="58" orientation="landscape" r:id="rId1"/>
    </customSheetView>
    <customSheetView guid="{F10E3D8B-5892-420A-B023-68C6496D556B}" scale="96" showPageBreaks="1" fitToPage="1" view="pageBreakPreview" topLeftCell="E1">
      <selection activeCell="J1" sqref="J1:L65536"/>
      <pageMargins left="0.23" right="0.39370078740157483" top="0.59055118110236227" bottom="0.59055118110236227" header="0.31496062992125984" footer="0.31496062992125984"/>
      <pageSetup paperSize="9" scale="59" orientation="landscape" r:id="rId2"/>
    </customSheetView>
    <customSheetView guid="{FE7E58EF-FECC-4DF6-BB75-BA97138CB219}" scale="96" showPageBreaks="1" fitToPage="1" view="pageBreakPreview" topLeftCell="E1">
      <selection activeCell="J1" sqref="J1:L65536"/>
      <pageMargins left="0.23" right="0.39370078740157483" top="0.59055118110236227" bottom="0.59055118110236227" header="0.31496062992125984" footer="0.31496062992125984"/>
      <pageSetup paperSize="9" scale="59" orientation="landscape" r:id="rId3"/>
    </customSheetView>
    <customSheetView guid="{43136B00-66C6-4289-99D3-5EF20611F834}" scale="96" showPageBreaks="1" fitToPage="1" view="pageBreakPreview">
      <selection activeCell="F13" sqref="F13"/>
      <pageMargins left="0.23" right="0.39370078740157483" top="0.59055118110236227" bottom="0.59055118110236227" header="0.31496062992125984" footer="0.31496062992125984"/>
      <pageSetup paperSize="9" scale="58" orientation="landscape" r:id="rId4"/>
    </customSheetView>
    <customSheetView guid="{22820B9F-10DE-4629-AF3D-4AF98A9BCEDB}" scale="96" showPageBreaks="1" fitToPage="1" view="pageBreakPreview" topLeftCell="A10">
      <selection activeCell="A11" sqref="A11:A14"/>
      <pageMargins left="0.23" right="0.39370078740157483" top="0.59055118110236227" bottom="0.59055118110236227" header="0.31496062992125984" footer="0.31496062992125984"/>
      <pageSetup paperSize="9" scale="58" orientation="landscape" r:id="rId5"/>
    </customSheetView>
  </customSheetViews>
  <mergeCells count="15">
    <mergeCell ref="G7:I7"/>
    <mergeCell ref="A15:A18"/>
    <mergeCell ref="B15:B18"/>
    <mergeCell ref="B11:B14"/>
    <mergeCell ref="A11:A14"/>
    <mergeCell ref="J7:L7"/>
    <mergeCell ref="K1:L1"/>
    <mergeCell ref="A3:L3"/>
    <mergeCell ref="A4:J4"/>
    <mergeCell ref="A5:A8"/>
    <mergeCell ref="B5:B8"/>
    <mergeCell ref="C5:C8"/>
    <mergeCell ref="D5:L5"/>
    <mergeCell ref="D6:F7"/>
    <mergeCell ref="G6:L6"/>
  </mergeCells>
  <phoneticPr fontId="116" type="noConversion"/>
  <hyperlinks>
    <hyperlink ref="G7" r:id="rId6" display="consultantplus://offline/ref=985DFA738D42EACDD6D6E7A732A35EBB5EE556B5569FFFC3D82F0102A3X1PFG"/>
    <hyperlink ref="J7" r:id="rId7" display="consultantplus://offline/ref=985DFA738D42EACDD6D6E7A732A35EBB5EE457B75497FFC3D82F0102A3X1PFG"/>
  </hyperlinks>
  <pageMargins left="0.23" right="0.39370078740157483" top="0.59055118110236227" bottom="0.59055118110236227" header="0.31496062992125984" footer="0.31496062992125984"/>
  <pageSetup paperSize="9" scale="59" orientation="landscape" r:id="rId8"/>
</worksheet>
</file>

<file path=xl/worksheets/sheet90.xml><?xml version="1.0" encoding="utf-8"?>
<worksheet xmlns="http://schemas.openxmlformats.org/spreadsheetml/2006/main" xmlns:r="http://schemas.openxmlformats.org/officeDocument/2006/relationships">
  <sheetPr codeName="Лист35"/>
  <dimension ref="A1:Q17"/>
  <sheetViews>
    <sheetView view="pageBreakPreview" zoomScale="91" zoomScaleNormal="100" zoomScaleSheetLayoutView="91" workbookViewId="0">
      <selection activeCell="A9" sqref="A9"/>
    </sheetView>
  </sheetViews>
  <sheetFormatPr defaultRowHeight="15"/>
  <cols>
    <col min="1" max="1" width="32.28515625" style="1" customWidth="1"/>
    <col min="2" max="2" width="8.85546875" style="1" customWidth="1"/>
    <col min="3" max="3" width="14.85546875" style="1" customWidth="1"/>
    <col min="4" max="4" width="12.42578125" style="1" customWidth="1"/>
    <col min="5" max="5" width="19.85546875" style="1" customWidth="1"/>
    <col min="6" max="6" width="10.5703125" style="1" customWidth="1"/>
    <col min="7" max="7" width="14" style="1" customWidth="1"/>
    <col min="8" max="16384" width="9.140625" style="1"/>
  </cols>
  <sheetData>
    <row r="1" spans="1:17" ht="15.75">
      <c r="A1" s="234"/>
      <c r="B1" s="234"/>
      <c r="C1" s="234"/>
      <c r="D1" s="234"/>
      <c r="E1" s="209" t="s">
        <v>974</v>
      </c>
      <c r="G1" s="32"/>
    </row>
    <row r="2" spans="1:17" ht="15.75">
      <c r="A2" s="234"/>
      <c r="B2" s="234"/>
      <c r="C2" s="234"/>
      <c r="D2" s="234"/>
      <c r="E2" s="234"/>
      <c r="G2" s="32"/>
    </row>
    <row r="3" spans="1:17" ht="37.5" customHeight="1">
      <c r="A3" s="1804" t="s">
        <v>1737</v>
      </c>
      <c r="B3" s="1804"/>
      <c r="C3" s="1804"/>
      <c r="D3" s="1804"/>
      <c r="E3" s="1804"/>
      <c r="F3" s="5"/>
      <c r="G3" s="5"/>
    </row>
    <row r="4" spans="1:17" ht="15.75">
      <c r="A4" s="427"/>
      <c r="B4" s="427"/>
      <c r="C4" s="427"/>
      <c r="D4" s="427"/>
      <c r="E4" s="427"/>
      <c r="F4" s="22"/>
      <c r="G4" s="22"/>
    </row>
    <row r="5" spans="1:17" ht="47.25">
      <c r="A5" s="547" t="s">
        <v>1297</v>
      </c>
      <c r="B5" s="351" t="s">
        <v>89</v>
      </c>
      <c r="C5" s="229" t="s">
        <v>939</v>
      </c>
      <c r="D5" s="232" t="s">
        <v>95</v>
      </c>
      <c r="E5" s="230" t="s">
        <v>90</v>
      </c>
      <c r="F5" s="38"/>
      <c r="G5" s="38"/>
      <c r="H5" s="38"/>
      <c r="I5" s="38"/>
      <c r="J5" s="38"/>
    </row>
    <row r="6" spans="1:17" ht="31.5">
      <c r="A6" s="548" t="s">
        <v>190</v>
      </c>
      <c r="B6" s="353"/>
      <c r="C6" s="232"/>
      <c r="D6" s="338"/>
      <c r="E6" s="232">
        <f>B6*C6*D6</f>
        <v>0</v>
      </c>
      <c r="F6" s="38"/>
      <c r="G6" s="38"/>
      <c r="H6" s="4"/>
      <c r="I6" s="38"/>
      <c r="J6" s="38"/>
    </row>
    <row r="7" spans="1:17" ht="44.25" customHeight="1">
      <c r="A7" s="548" t="s">
        <v>192</v>
      </c>
      <c r="B7" s="353"/>
      <c r="C7" s="232"/>
      <c r="D7" s="338"/>
      <c r="E7" s="232">
        <f>B7*C7*D7</f>
        <v>0</v>
      </c>
      <c r="F7" s="38"/>
      <c r="G7" s="38"/>
      <c r="H7" s="4"/>
      <c r="I7" s="38"/>
      <c r="J7" s="38"/>
    </row>
    <row r="8" spans="1:17" ht="15.75">
      <c r="A8" s="548" t="s">
        <v>191</v>
      </c>
      <c r="B8" s="353"/>
      <c r="C8" s="232"/>
      <c r="D8" s="338"/>
      <c r="E8" s="232">
        <f>B8*C8*D8</f>
        <v>0</v>
      </c>
      <c r="F8" s="38"/>
      <c r="G8" s="38"/>
      <c r="H8" s="4"/>
      <c r="I8" s="38"/>
      <c r="J8" s="38"/>
    </row>
    <row r="9" spans="1:17" ht="15.75">
      <c r="A9" s="552" t="s">
        <v>1738</v>
      </c>
      <c r="B9" s="353"/>
      <c r="C9" s="232"/>
      <c r="D9" s="338"/>
      <c r="E9" s="232">
        <f>B9*C9*D9</f>
        <v>0</v>
      </c>
      <c r="F9" s="38"/>
      <c r="G9" s="38"/>
      <c r="H9" s="4"/>
      <c r="I9" s="38"/>
      <c r="J9" s="38"/>
    </row>
    <row r="10" spans="1:17" ht="15.75">
      <c r="A10" s="2071" t="s">
        <v>183</v>
      </c>
      <c r="B10" s="2071"/>
      <c r="C10" s="2071"/>
      <c r="D10" s="2071"/>
      <c r="E10" s="232">
        <f>SUM(E6:E9)</f>
        <v>0</v>
      </c>
      <c r="F10" s="38"/>
      <c r="G10" s="38"/>
      <c r="H10" s="38"/>
      <c r="I10" s="38"/>
      <c r="J10" s="38"/>
    </row>
    <row r="11" spans="1:17" ht="15.75">
      <c r="A11" s="549"/>
      <c r="B11" s="549"/>
      <c r="C11" s="549"/>
      <c r="D11" s="549"/>
      <c r="E11" s="355"/>
      <c r="F11" s="38"/>
      <c r="G11" s="38"/>
      <c r="H11" s="38"/>
      <c r="I11" s="38"/>
      <c r="J11" s="38"/>
    </row>
    <row r="12" spans="1:17" ht="49.15" customHeight="1">
      <c r="A12" s="2072" t="s">
        <v>1097</v>
      </c>
      <c r="B12" s="2072"/>
      <c r="C12" s="2072"/>
      <c r="D12" s="2072"/>
      <c r="E12" s="2072"/>
      <c r="F12" s="38"/>
      <c r="G12" s="38"/>
      <c r="H12" s="39"/>
      <c r="I12" s="38"/>
      <c r="J12" s="38"/>
    </row>
    <row r="14" spans="1:17" s="207" customFormat="1" ht="15.75">
      <c r="A14" s="234" t="s">
        <v>1077</v>
      </c>
      <c r="B14" s="234"/>
      <c r="C14" s="550"/>
      <c r="D14" s="551"/>
      <c r="E14" s="550"/>
      <c r="F14" s="311"/>
      <c r="G14" s="311"/>
      <c r="H14" s="311"/>
      <c r="I14" s="311"/>
      <c r="J14" s="311"/>
      <c r="K14" s="311"/>
      <c r="L14" s="311"/>
      <c r="M14" s="509"/>
      <c r="N14" s="509"/>
      <c r="O14" s="311"/>
      <c r="P14" s="311"/>
      <c r="Q14" s="311"/>
    </row>
    <row r="15" spans="1:17" s="207" customFormat="1" ht="31.5" customHeight="1">
      <c r="A15" s="221"/>
      <c r="B15" s="221"/>
      <c r="C15" s="523" t="s">
        <v>1078</v>
      </c>
      <c r="D15" s="524"/>
      <c r="E15" s="524" t="s">
        <v>1079</v>
      </c>
      <c r="F15" s="510"/>
      <c r="G15" s="510"/>
      <c r="H15" s="510"/>
      <c r="I15" s="510"/>
      <c r="J15" s="510"/>
      <c r="K15" s="510"/>
      <c r="L15" s="510"/>
      <c r="M15" s="509"/>
      <c r="N15" s="509"/>
      <c r="O15" s="510"/>
      <c r="P15" s="510"/>
      <c r="Q15" s="510"/>
    </row>
    <row r="16" spans="1:17" s="207" customFormat="1" ht="15.75">
      <c r="A16" s="234" t="s">
        <v>1076</v>
      </c>
      <c r="B16" s="234"/>
      <c r="C16" s="529"/>
      <c r="D16" s="528"/>
      <c r="E16" s="529"/>
      <c r="F16" s="311"/>
      <c r="G16" s="311"/>
      <c r="H16" s="311"/>
      <c r="I16" s="311"/>
      <c r="J16" s="311"/>
      <c r="K16" s="311"/>
      <c r="L16" s="311"/>
      <c r="M16" s="509"/>
      <c r="N16" s="509"/>
      <c r="O16" s="311"/>
      <c r="P16" s="311"/>
      <c r="Q16" s="311"/>
    </row>
    <row r="17" spans="2:17" s="207" customFormat="1" ht="31.5" customHeight="1">
      <c r="B17" s="221"/>
      <c r="C17" s="523" t="s">
        <v>1078</v>
      </c>
      <c r="D17" s="524"/>
      <c r="E17" s="524" t="s">
        <v>1079</v>
      </c>
      <c r="F17" s="510"/>
      <c r="G17" s="510"/>
      <c r="H17" s="510"/>
      <c r="I17" s="510"/>
      <c r="J17" s="510"/>
      <c r="K17" s="510"/>
      <c r="L17" s="510"/>
      <c r="M17" s="509"/>
      <c r="N17" s="509"/>
      <c r="O17" s="510"/>
      <c r="P17" s="510"/>
      <c r="Q17" s="510"/>
    </row>
  </sheetData>
  <customSheetViews>
    <customSheetView guid="{CA0FB9E2-E541-4C74-BCFE-D75491869B36}" scale="91" showPageBreaks="1" view="pageBreakPreview">
      <selection activeCell="D6" sqref="D6"/>
      <pageMargins left="0.7" right="0.7" top="0.75" bottom="0.75" header="0.3" footer="0.3"/>
      <pageSetup paperSize="9" scale="99" orientation="portrait" r:id="rId1"/>
    </customSheetView>
    <customSheetView guid="{F10E3D8B-5892-420A-B023-68C6496D556B}">
      <selection activeCell="A12" sqref="A12:E12"/>
      <pageMargins left="0.7" right="0.7" top="0.75" bottom="0.75" header="0.3" footer="0.3"/>
      <pageSetup paperSize="9" orientation="portrait" r:id="rId2"/>
    </customSheetView>
    <customSheetView guid="{FE7E58EF-FECC-4DF6-BB75-BA97138CB219}">
      <selection activeCell="E16" sqref="E16"/>
      <pageMargins left="0.7" right="0.7" top="0.75" bottom="0.75" header="0.3" footer="0.3"/>
      <pageSetup paperSize="9" orientation="portrait" r:id="rId3"/>
    </customSheetView>
    <customSheetView guid="{43136B00-66C6-4289-99D3-5EF20611F834}" showPageBreaks="1">
      <selection activeCell="A14" sqref="A14:IV17"/>
      <pageMargins left="0.7" right="0.7" top="0.75" bottom="0.75" header="0.3" footer="0.3"/>
      <pageSetup paperSize="9" orientation="portrait" r:id="rId4"/>
    </customSheetView>
    <customSheetView guid="{22820B9F-10DE-4629-AF3D-4AF98A9BCEDB}" scale="91" showPageBreaks="1" view="pageBreakPreview">
      <selection activeCell="M19" sqref="M19"/>
      <pageMargins left="0.7" right="0.7" top="0.75" bottom="0.75" header="0.3" footer="0.3"/>
      <pageSetup paperSize="9" orientation="portrait" r:id="rId5"/>
    </customSheetView>
  </customSheetViews>
  <mergeCells count="3">
    <mergeCell ref="A3:E3"/>
    <mergeCell ref="A10:D10"/>
    <mergeCell ref="A12:E12"/>
  </mergeCells>
  <phoneticPr fontId="116" type="noConversion"/>
  <pageMargins left="0.7" right="0.7" top="0.75" bottom="0.75" header="0.3" footer="0.3"/>
  <pageSetup paperSize="9" scale="99" orientation="portrait" r:id="rId6"/>
</worksheet>
</file>

<file path=xl/worksheets/sheet91.xml><?xml version="1.0" encoding="utf-8"?>
<worksheet xmlns="http://schemas.openxmlformats.org/spreadsheetml/2006/main" xmlns:r="http://schemas.openxmlformats.org/officeDocument/2006/relationships">
  <sheetPr codeName="Лист37"/>
  <dimension ref="A1:Q14"/>
  <sheetViews>
    <sheetView view="pageBreakPreview" zoomScale="98" zoomScaleNormal="100" zoomScaleSheetLayoutView="98" workbookViewId="0">
      <selection activeCell="A3" sqref="A3:D12"/>
    </sheetView>
  </sheetViews>
  <sheetFormatPr defaultRowHeight="15"/>
  <cols>
    <col min="1" max="1" width="44.85546875" style="1" customWidth="1"/>
    <col min="2" max="2" width="29.42578125" style="1" customWidth="1"/>
    <col min="3" max="3" width="28.42578125" style="1" customWidth="1"/>
    <col min="4" max="4" width="4.7109375" style="1" customWidth="1"/>
    <col min="5" max="5" width="11" style="1" customWidth="1"/>
    <col min="6" max="6" width="13.42578125" style="1" customWidth="1"/>
    <col min="7" max="7" width="13.85546875" style="1" customWidth="1"/>
    <col min="8" max="8" width="14" style="1" customWidth="1"/>
    <col min="9" max="16384" width="9.140625" style="1"/>
  </cols>
  <sheetData>
    <row r="1" spans="1:17" ht="15.75">
      <c r="A1" s="234"/>
      <c r="B1" s="234" t="s">
        <v>77</v>
      </c>
      <c r="C1" s="209" t="s">
        <v>975</v>
      </c>
      <c r="D1" s="209"/>
    </row>
    <row r="2" spans="1:17" ht="15.75">
      <c r="A2" s="234"/>
      <c r="B2" s="234"/>
      <c r="C2" s="234"/>
      <c r="D2" s="209"/>
    </row>
    <row r="3" spans="1:17" ht="168.2" customHeight="1">
      <c r="A3" s="2057" t="s">
        <v>1756</v>
      </c>
      <c r="B3" s="2057"/>
      <c r="C3" s="2057"/>
      <c r="D3" s="406"/>
      <c r="E3" s="108"/>
      <c r="F3" s="108"/>
      <c r="G3" s="108"/>
      <c r="H3" s="108"/>
    </row>
    <row r="4" spans="1:17" ht="15.75">
      <c r="A4" s="324"/>
      <c r="B4" s="324"/>
      <c r="C4" s="324"/>
      <c r="D4" s="324"/>
    </row>
    <row r="5" spans="1:17" ht="15.75">
      <c r="A5" s="241" t="s">
        <v>1748</v>
      </c>
      <c r="B5" s="368" t="s">
        <v>1098</v>
      </c>
      <c r="C5" s="368" t="s">
        <v>90</v>
      </c>
      <c r="D5" s="433"/>
      <c r="E5" s="33"/>
      <c r="F5" s="34"/>
    </row>
    <row r="6" spans="1:17" ht="15.75">
      <c r="A6" s="241"/>
      <c r="B6" s="368"/>
      <c r="C6" s="368"/>
      <c r="D6" s="433"/>
      <c r="E6" s="33"/>
      <c r="F6" s="34"/>
    </row>
    <row r="7" spans="1:17" ht="13.15" customHeight="1">
      <c r="A7" s="553"/>
      <c r="B7" s="554"/>
      <c r="C7" s="554"/>
      <c r="D7" s="555"/>
      <c r="E7" s="36"/>
      <c r="F7" s="37"/>
      <c r="I7" s="38"/>
    </row>
    <row r="8" spans="1:17" ht="15.75">
      <c r="A8" s="556"/>
      <c r="B8" s="323"/>
      <c r="C8" s="324"/>
      <c r="D8" s="557"/>
      <c r="E8" s="36"/>
      <c r="F8" s="37"/>
    </row>
    <row r="9" spans="1:17" ht="32.25" customHeight="1">
      <c r="A9" s="1674" t="s">
        <v>1099</v>
      </c>
      <c r="B9" s="1674"/>
      <c r="C9" s="1674"/>
      <c r="D9" s="1674"/>
      <c r="E9" s="36"/>
      <c r="F9" s="37"/>
    </row>
    <row r="10" spans="1:17" s="38" customFormat="1" ht="15.75">
      <c r="A10" s="324"/>
      <c r="B10" s="324"/>
      <c r="C10" s="324"/>
      <c r="D10" s="324"/>
    </row>
    <row r="11" spans="1:17" s="207" customFormat="1" ht="15.75">
      <c r="A11" s="324" t="s">
        <v>1077</v>
      </c>
      <c r="B11" s="558"/>
      <c r="C11" s="507"/>
      <c r="D11" s="311"/>
      <c r="E11" s="311"/>
      <c r="F11" s="311"/>
      <c r="G11" s="311"/>
      <c r="H11" s="311"/>
      <c r="I11" s="311"/>
      <c r="J11" s="311"/>
      <c r="K11" s="311"/>
      <c r="L11" s="311"/>
      <c r="M11" s="509"/>
      <c r="N11" s="509"/>
      <c r="O11" s="311"/>
      <c r="P11" s="311"/>
      <c r="Q11" s="311"/>
    </row>
    <row r="12" spans="1:17" s="207" customFormat="1" ht="17.25" customHeight="1">
      <c r="A12" s="221"/>
      <c r="B12" s="217" t="s">
        <v>1078</v>
      </c>
      <c r="C12" s="217" t="s">
        <v>1079</v>
      </c>
      <c r="D12" s="510"/>
      <c r="E12" s="510"/>
      <c r="F12" s="510"/>
      <c r="G12" s="510"/>
      <c r="H12" s="510"/>
      <c r="I12" s="510"/>
      <c r="J12" s="510"/>
      <c r="K12" s="510"/>
      <c r="L12" s="510"/>
      <c r="M12" s="509"/>
      <c r="N12" s="509"/>
      <c r="O12" s="510"/>
      <c r="P12" s="510"/>
      <c r="Q12" s="510"/>
    </row>
    <row r="13" spans="1:17" s="207" customFormat="1" ht="15.75">
      <c r="A13" s="234" t="s">
        <v>1076</v>
      </c>
      <c r="B13" s="518"/>
      <c r="C13" s="507"/>
      <c r="D13" s="311"/>
      <c r="E13" s="311"/>
      <c r="F13" s="311"/>
      <c r="G13" s="311"/>
      <c r="H13" s="311"/>
      <c r="I13" s="311"/>
      <c r="J13" s="311"/>
      <c r="K13" s="311"/>
      <c r="L13" s="311"/>
      <c r="M13" s="509"/>
      <c r="N13" s="509"/>
      <c r="O13" s="311"/>
      <c r="P13" s="311"/>
      <c r="Q13" s="311"/>
    </row>
    <row r="14" spans="1:17" s="207" customFormat="1" ht="21.75" customHeight="1">
      <c r="B14" s="217" t="s">
        <v>1078</v>
      </c>
      <c r="C14" s="217" t="s">
        <v>1079</v>
      </c>
      <c r="D14" s="510"/>
      <c r="E14" s="510"/>
      <c r="F14" s="510"/>
      <c r="G14" s="510"/>
      <c r="H14" s="510"/>
      <c r="I14" s="510"/>
      <c r="J14" s="510"/>
      <c r="K14" s="510"/>
      <c r="L14" s="510"/>
      <c r="M14" s="509"/>
      <c r="N14" s="509"/>
      <c r="O14" s="510"/>
      <c r="P14" s="510"/>
      <c r="Q14" s="510"/>
    </row>
  </sheetData>
  <customSheetViews>
    <customSheetView guid="{CA0FB9E2-E541-4C74-BCFE-D75491869B36}" scale="98" showPageBreaks="1" view="pageBreakPreview">
      <selection activeCell="F5" sqref="F5"/>
      <pageMargins left="0.9055118110236221" right="0.70866141732283472" top="0.74803149606299213" bottom="0.74803149606299213" header="0.31496062992125984" footer="0.31496062992125984"/>
      <pageSetup paperSize="9" scale="77" orientation="portrait" r:id="rId1"/>
    </customSheetView>
    <customSheetView guid="{F10E3D8B-5892-420A-B023-68C6496D556B}">
      <selection activeCell="A9" sqref="A9:D9"/>
      <pageMargins left="0.7" right="0.7" top="0.75" bottom="0.75" header="0.3" footer="0.3"/>
      <pageSetup paperSize="9" orientation="portrait" r:id="rId2"/>
    </customSheetView>
    <customSheetView guid="{FE7E58EF-FECC-4DF6-BB75-BA97138CB219}">
      <selection activeCell="A2" sqref="A2:C2"/>
      <pageMargins left="0.7" right="0.7" top="0.75" bottom="0.75" header="0.3" footer="0.3"/>
      <pageSetup paperSize="9" orientation="portrait" r:id="rId3"/>
    </customSheetView>
    <customSheetView guid="{43136B00-66C6-4289-99D3-5EF20611F834}" scale="98" showPageBreaks="1" view="pageBreakPreview">
      <selection activeCell="A11" sqref="A11:IV14"/>
      <pageMargins left="0.9055118110236221" right="0.70866141732283472" top="0.74803149606299213" bottom="0.74803149606299213" header="0.31496062992125984" footer="0.31496062992125984"/>
      <pageSetup paperSize="9" scale="77" orientation="portrait" r:id="rId4"/>
    </customSheetView>
    <customSheetView guid="{22820B9F-10DE-4629-AF3D-4AF98A9BCEDB}" scale="98" showPageBreaks="1" view="pageBreakPreview">
      <selection activeCell="F5" sqref="F5"/>
      <pageMargins left="0.9055118110236221" right="0.70866141732283472" top="0.74803149606299213" bottom="0.74803149606299213" header="0.31496062992125984" footer="0.31496062992125984"/>
      <pageSetup paperSize="9" scale="77" orientation="portrait" r:id="rId5"/>
    </customSheetView>
  </customSheetViews>
  <mergeCells count="2">
    <mergeCell ref="A3:C3"/>
    <mergeCell ref="A9:D9"/>
  </mergeCells>
  <phoneticPr fontId="116" type="noConversion"/>
  <pageMargins left="0.9055118110236221" right="0.70866141732283472" top="0.74803149606299213" bottom="0.74803149606299213" header="0.31496062992125984" footer="0.31496062992125984"/>
  <pageSetup paperSize="9" scale="77" orientation="portrait" r:id="rId6"/>
</worksheet>
</file>

<file path=xl/worksheets/sheet92.xml><?xml version="1.0" encoding="utf-8"?>
<worksheet xmlns="http://schemas.openxmlformats.org/spreadsheetml/2006/main" xmlns:r="http://schemas.openxmlformats.org/officeDocument/2006/relationships">
  <sheetPr codeName="Лист38"/>
  <dimension ref="A1:Q15"/>
  <sheetViews>
    <sheetView view="pageBreakPreview" topLeftCell="A7" zoomScale="96" zoomScaleNormal="100" zoomScaleSheetLayoutView="96" workbookViewId="0">
      <selection activeCell="C5" sqref="A5:D10"/>
    </sheetView>
  </sheetViews>
  <sheetFormatPr defaultRowHeight="15"/>
  <cols>
    <col min="1" max="1" width="26.140625" style="41" customWidth="1"/>
    <col min="2" max="2" width="24.28515625" style="42" customWidth="1"/>
    <col min="3" max="3" width="19" style="41" customWidth="1"/>
    <col min="4" max="4" width="21" style="41" customWidth="1"/>
    <col min="5" max="5" width="1.28515625" style="41" customWidth="1"/>
    <col min="6" max="6" width="13.5703125" style="41" customWidth="1"/>
    <col min="7" max="7" width="20.42578125" style="41" customWidth="1"/>
    <col min="8" max="8" width="7.140625" style="41" customWidth="1"/>
    <col min="9" max="16384" width="9.140625" style="41"/>
  </cols>
  <sheetData>
    <row r="1" spans="1:17" ht="15" customHeight="1">
      <c r="A1" s="435"/>
      <c r="B1" s="436"/>
      <c r="C1" s="435"/>
      <c r="D1" s="209" t="s">
        <v>1912</v>
      </c>
      <c r="F1" s="6"/>
      <c r="G1" s="6"/>
      <c r="H1" s="6"/>
    </row>
    <row r="2" spans="1:17" ht="15" customHeight="1">
      <c r="A2" s="435"/>
      <c r="B2" s="436"/>
      <c r="C2" s="435"/>
      <c r="D2" s="209"/>
      <c r="F2" s="6"/>
      <c r="G2" s="6"/>
      <c r="H2" s="6"/>
    </row>
    <row r="3" spans="1:17" ht="179.25" customHeight="1">
      <c r="A3" s="1841" t="s">
        <v>1753</v>
      </c>
      <c r="B3" s="1841"/>
      <c r="C3" s="1841"/>
      <c r="D3" s="1841"/>
      <c r="E3" s="111"/>
      <c r="F3" s="111"/>
      <c r="G3" s="111"/>
      <c r="H3" s="7"/>
      <c r="I3" s="7"/>
    </row>
    <row r="4" spans="1:17" ht="15.75">
      <c r="A4" s="437"/>
      <c r="B4" s="437"/>
      <c r="C4" s="437"/>
      <c r="D4" s="437"/>
      <c r="E4" s="23"/>
      <c r="F4" s="23"/>
      <c r="G4" s="23"/>
      <c r="H4" s="7"/>
      <c r="I4" s="7"/>
    </row>
    <row r="5" spans="1:17" ht="49.15" customHeight="1">
      <c r="A5" s="241" t="s">
        <v>1300</v>
      </c>
      <c r="B5" s="241" t="s">
        <v>1748</v>
      </c>
      <c r="C5" s="241" t="s">
        <v>938</v>
      </c>
      <c r="D5" s="368" t="s">
        <v>90</v>
      </c>
      <c r="E5" s="109"/>
      <c r="F5" s="50"/>
    </row>
    <row r="6" spans="1:17" ht="22.5" customHeight="1">
      <c r="A6" s="559" t="s">
        <v>91</v>
      </c>
      <c r="B6" s="560"/>
      <c r="C6" s="561"/>
      <c r="D6" s="562"/>
      <c r="E6" s="110"/>
      <c r="F6" s="46"/>
      <c r="H6" s="47"/>
      <c r="I6" s="44"/>
    </row>
    <row r="7" spans="1:17" ht="24.2" customHeight="1">
      <c r="A7" s="559" t="s">
        <v>92</v>
      </c>
      <c r="B7" s="560"/>
      <c r="C7" s="561"/>
      <c r="D7" s="562"/>
      <c r="E7" s="110"/>
      <c r="F7" s="46"/>
      <c r="I7" s="52"/>
    </row>
    <row r="8" spans="1:17" ht="13.15" customHeight="1">
      <c r="A8" s="438" t="s">
        <v>183</v>
      </c>
      <c r="B8" s="370"/>
      <c r="C8" s="370"/>
      <c r="D8" s="563"/>
      <c r="E8" s="45"/>
      <c r="F8" s="54"/>
    </row>
    <row r="9" spans="1:17" ht="13.15" customHeight="1">
      <c r="A9" s="371"/>
      <c r="B9" s="371"/>
      <c r="C9" s="372"/>
      <c r="D9" s="372"/>
      <c r="E9" s="45"/>
      <c r="F9" s="54"/>
    </row>
    <row r="10" spans="1:17" s="48" customFormat="1" ht="33" customHeight="1">
      <c r="A10" s="1505" t="s">
        <v>942</v>
      </c>
      <c r="B10" s="1505"/>
      <c r="C10" s="1505"/>
      <c r="D10" s="1505"/>
      <c r="E10" s="40"/>
      <c r="F10" s="40"/>
      <c r="G10" s="40"/>
      <c r="H10" s="40"/>
      <c r="I10" s="40"/>
    </row>
    <row r="11" spans="1:17" ht="13.5" customHeight="1"/>
    <row r="12" spans="1:17" s="207" customFormat="1" ht="15.75">
      <c r="A12" s="234" t="s">
        <v>1077</v>
      </c>
      <c r="B12" s="234"/>
      <c r="C12" s="507"/>
      <c r="D12" s="507"/>
      <c r="E12" s="311"/>
      <c r="F12" s="311"/>
      <c r="G12" s="311"/>
      <c r="H12" s="311"/>
      <c r="I12" s="311"/>
      <c r="J12" s="311"/>
      <c r="K12" s="311"/>
      <c r="L12" s="311"/>
      <c r="M12" s="509"/>
      <c r="N12" s="509"/>
      <c r="O12" s="311"/>
      <c r="P12" s="311"/>
      <c r="Q12" s="311"/>
    </row>
    <row r="13" spans="1:17" s="207" customFormat="1" ht="31.5" customHeight="1">
      <c r="A13" s="221"/>
      <c r="B13" s="221"/>
      <c r="C13" s="523" t="s">
        <v>1078</v>
      </c>
      <c r="D13" s="524" t="s">
        <v>1079</v>
      </c>
      <c r="E13" s="510"/>
      <c r="F13" s="510"/>
      <c r="G13" s="510"/>
      <c r="H13" s="510"/>
      <c r="I13" s="510"/>
      <c r="J13" s="510"/>
      <c r="K13" s="510"/>
      <c r="L13" s="510"/>
      <c r="M13" s="509"/>
      <c r="N13" s="509"/>
      <c r="O13" s="510"/>
      <c r="P13" s="510"/>
      <c r="Q13" s="510"/>
    </row>
    <row r="14" spans="1:17" s="207" customFormat="1" ht="15.75">
      <c r="A14" s="234" t="s">
        <v>1076</v>
      </c>
      <c r="B14" s="234"/>
      <c r="C14" s="529"/>
      <c r="D14" s="529"/>
      <c r="E14" s="311"/>
      <c r="F14" s="311"/>
      <c r="G14" s="311"/>
      <c r="H14" s="311"/>
      <c r="I14" s="311"/>
      <c r="J14" s="311"/>
      <c r="K14" s="311"/>
      <c r="L14" s="311"/>
      <c r="M14" s="509"/>
      <c r="N14" s="509"/>
      <c r="O14" s="311"/>
      <c r="P14" s="311"/>
      <c r="Q14" s="311"/>
    </row>
    <row r="15" spans="1:17" s="207" customFormat="1" ht="31.5" customHeight="1">
      <c r="B15" s="221"/>
      <c r="C15" s="523" t="s">
        <v>1078</v>
      </c>
      <c r="D15" s="524" t="s">
        <v>1079</v>
      </c>
      <c r="E15" s="510"/>
      <c r="F15" s="510"/>
      <c r="G15" s="510"/>
      <c r="H15" s="510"/>
      <c r="I15" s="510"/>
      <c r="J15" s="510"/>
      <c r="K15" s="510"/>
      <c r="L15" s="510"/>
      <c r="M15" s="509"/>
      <c r="N15" s="509"/>
      <c r="O15" s="510"/>
      <c r="P15" s="510"/>
      <c r="Q15" s="510"/>
    </row>
  </sheetData>
  <customSheetViews>
    <customSheetView guid="{CA0FB9E2-E541-4C74-BCFE-D75491869B36}" scale="96" showPageBreaks="1" view="pageBreakPreview">
      <selection activeCell="C13" sqref="C13:D15"/>
      <pageMargins left="0.7" right="0.7" top="0.75" bottom="0.75" header="0.3" footer="0.3"/>
      <pageSetup paperSize="9" scale="92" orientation="portrait" r:id="rId1"/>
    </customSheetView>
    <customSheetView guid="{F10E3D8B-5892-420A-B023-68C6496D556B}">
      <selection activeCell="A10" sqref="A10:D10"/>
      <pageMargins left="0.7" right="0.7" top="0.75" bottom="0.75" header="0.3" footer="0.3"/>
      <pageSetup paperSize="9" orientation="portrait" r:id="rId2"/>
    </customSheetView>
    <customSheetView guid="{FE7E58EF-FECC-4DF6-BB75-BA97138CB219}">
      <selection activeCell="A4" sqref="A4"/>
      <pageMargins left="0.7" right="0.7" top="0.75" bottom="0.75" header="0.3" footer="0.3"/>
      <pageSetup paperSize="9" orientation="portrait" r:id="rId3"/>
    </customSheetView>
    <customSheetView guid="{43136B00-66C6-4289-99D3-5EF20611F834}" scale="96" showPageBreaks="1" view="pageBreakPreview">
      <selection activeCell="A5" sqref="A5"/>
      <pageMargins left="0.7" right="0.7" top="0.75" bottom="0.75" header="0.3" footer="0.3"/>
      <pageSetup paperSize="9" scale="92" orientation="portrait" r:id="rId4"/>
    </customSheetView>
    <customSheetView guid="{22820B9F-10DE-4629-AF3D-4AF98A9BCEDB}" scale="96" showPageBreaks="1" view="pageBreakPreview">
      <selection activeCell="G6" sqref="G6"/>
      <pageMargins left="0.7" right="0.7" top="0.75" bottom="0.75" header="0.3" footer="0.3"/>
      <pageSetup paperSize="9" scale="92" orientation="portrait" r:id="rId5"/>
    </customSheetView>
  </customSheetViews>
  <mergeCells count="2">
    <mergeCell ref="A3:D3"/>
    <mergeCell ref="A10:D10"/>
  </mergeCells>
  <phoneticPr fontId="116" type="noConversion"/>
  <pageMargins left="0.7" right="0.7" top="0.75" bottom="0.75" header="0.3" footer="0.3"/>
  <pageSetup paperSize="9" scale="92" orientation="portrait" r:id="rId6"/>
</worksheet>
</file>

<file path=xl/worksheets/sheet93.xml><?xml version="1.0" encoding="utf-8"?>
<worksheet xmlns="http://schemas.openxmlformats.org/spreadsheetml/2006/main" xmlns:r="http://schemas.openxmlformats.org/officeDocument/2006/relationships">
  <sheetPr codeName="Лист39"/>
  <dimension ref="A1:Q16"/>
  <sheetViews>
    <sheetView workbookViewId="0">
      <selection activeCell="A5" sqref="A5:D13"/>
    </sheetView>
  </sheetViews>
  <sheetFormatPr defaultRowHeight="15"/>
  <cols>
    <col min="1" max="1" width="38.42578125" style="41" customWidth="1"/>
    <col min="2" max="2" width="16.28515625" style="41" customWidth="1"/>
    <col min="3" max="3" width="16.5703125" style="41" customWidth="1"/>
    <col min="4" max="4" width="15.42578125" style="41" customWidth="1"/>
    <col min="5" max="5" width="11.42578125" style="41" customWidth="1"/>
    <col min="6" max="6" width="12" style="41" customWidth="1"/>
    <col min="7" max="7" width="11.7109375" style="41" customWidth="1"/>
    <col min="8" max="8" width="14.28515625" style="41" customWidth="1"/>
    <col min="9" max="16384" width="9.140625" style="41"/>
  </cols>
  <sheetData>
    <row r="1" spans="1:17" ht="15.75">
      <c r="A1" s="435"/>
      <c r="B1" s="435"/>
      <c r="C1" s="435"/>
      <c r="D1" s="209" t="s">
        <v>976</v>
      </c>
      <c r="G1" s="6"/>
      <c r="H1" s="6"/>
    </row>
    <row r="2" spans="1:17" ht="15.75">
      <c r="A2" s="435"/>
      <c r="B2" s="435"/>
      <c r="C2" s="435"/>
      <c r="D2" s="209"/>
      <c r="G2" s="6"/>
      <c r="H2" s="6"/>
    </row>
    <row r="3" spans="1:17" ht="210" customHeight="1">
      <c r="A3" s="2073" t="s">
        <v>1754</v>
      </c>
      <c r="B3" s="2073"/>
      <c r="C3" s="2073"/>
      <c r="D3" s="2073"/>
      <c r="E3" s="113"/>
      <c r="F3" s="113"/>
      <c r="G3" s="113"/>
      <c r="H3" s="113"/>
      <c r="I3" s="107"/>
    </row>
    <row r="4" spans="1:17" ht="15.75">
      <c r="A4" s="435"/>
      <c r="B4" s="435"/>
      <c r="C4" s="435"/>
      <c r="D4" s="435"/>
    </row>
    <row r="5" spans="1:17" ht="63">
      <c r="A5" s="318" t="s">
        <v>1300</v>
      </c>
      <c r="B5" s="241" t="s">
        <v>1748</v>
      </c>
      <c r="C5" s="241" t="s">
        <v>938</v>
      </c>
      <c r="D5" s="368" t="s">
        <v>90</v>
      </c>
      <c r="E5" s="112"/>
      <c r="F5" s="50"/>
      <c r="G5" s="50"/>
    </row>
    <row r="6" spans="1:17" ht="31.5">
      <c r="A6" s="364" t="s">
        <v>1836</v>
      </c>
      <c r="B6" s="241"/>
      <c r="C6" s="368"/>
      <c r="D6" s="368"/>
      <c r="E6" s="112"/>
      <c r="F6" s="50"/>
      <c r="G6" s="50"/>
    </row>
    <row r="7" spans="1:17" ht="15.75">
      <c r="A7" s="373" t="s">
        <v>91</v>
      </c>
      <c r="B7" s="560"/>
      <c r="C7" s="561"/>
      <c r="D7" s="561"/>
      <c r="E7" s="110"/>
      <c r="F7" s="51"/>
      <c r="G7" s="51"/>
      <c r="I7" s="44"/>
    </row>
    <row r="8" spans="1:17" ht="15.75">
      <c r="A8" s="373" t="s">
        <v>92</v>
      </c>
      <c r="B8" s="560"/>
      <c r="C8" s="561"/>
      <c r="D8" s="561"/>
      <c r="E8" s="110"/>
      <c r="F8" s="51"/>
      <c r="G8" s="51"/>
      <c r="I8" s="52"/>
    </row>
    <row r="9" spans="1:17" ht="15.75">
      <c r="A9" s="373" t="s">
        <v>1755</v>
      </c>
      <c r="B9" s="560"/>
      <c r="C9" s="561"/>
      <c r="D9" s="561"/>
      <c r="E9" s="110"/>
      <c r="F9" s="51"/>
      <c r="G9" s="51"/>
      <c r="I9" s="52"/>
    </row>
    <row r="10" spans="1:17" ht="15.75" customHeight="1">
      <c r="A10" s="438" t="s">
        <v>183</v>
      </c>
      <c r="B10" s="370"/>
      <c r="C10" s="370"/>
      <c r="D10" s="374"/>
      <c r="E10" s="45"/>
      <c r="F10" s="53"/>
      <c r="G10" s="53"/>
    </row>
    <row r="11" spans="1:17" s="48" customFormat="1" ht="15.75">
      <c r="A11" s="564"/>
      <c r="B11" s="564"/>
      <c r="C11" s="564"/>
      <c r="D11" s="564"/>
    </row>
    <row r="12" spans="1:17" ht="30" customHeight="1">
      <c r="A12" s="1674" t="s">
        <v>943</v>
      </c>
      <c r="B12" s="1674"/>
      <c r="C12" s="1674"/>
      <c r="D12" s="1674"/>
    </row>
    <row r="13" spans="1:17" s="207" customFormat="1" ht="24.2" customHeight="1">
      <c r="A13" s="324" t="s">
        <v>1077</v>
      </c>
      <c r="B13" s="507"/>
      <c r="C13" s="311"/>
      <c r="D13" s="507"/>
      <c r="E13" s="311"/>
      <c r="F13" s="311"/>
      <c r="G13" s="311"/>
      <c r="H13" s="311"/>
      <c r="I13" s="311"/>
      <c r="J13" s="311"/>
      <c r="K13" s="311"/>
      <c r="L13" s="311"/>
      <c r="M13" s="509"/>
      <c r="N13" s="509"/>
      <c r="O13" s="311"/>
      <c r="P13" s="311"/>
      <c r="Q13" s="311"/>
    </row>
    <row r="14" spans="1:17" s="207" customFormat="1" ht="31.5" customHeight="1">
      <c r="A14" s="221"/>
      <c r="B14" s="523" t="s">
        <v>1078</v>
      </c>
      <c r="C14" s="524"/>
      <c r="D14" s="524" t="s">
        <v>1079</v>
      </c>
      <c r="E14" s="510"/>
      <c r="F14" s="510"/>
      <c r="G14" s="510"/>
      <c r="H14" s="510"/>
      <c r="I14" s="510"/>
      <c r="J14" s="510"/>
      <c r="K14" s="510"/>
      <c r="L14" s="510"/>
      <c r="M14" s="509"/>
      <c r="N14" s="509"/>
      <c r="O14" s="510"/>
      <c r="P14" s="510"/>
      <c r="Q14" s="510"/>
    </row>
    <row r="15" spans="1:17" s="207" customFormat="1" ht="15.75">
      <c r="A15" s="234" t="s">
        <v>1076</v>
      </c>
      <c r="B15" s="529"/>
      <c r="C15" s="528"/>
      <c r="D15" s="529"/>
      <c r="E15" s="311"/>
      <c r="F15" s="311"/>
      <c r="G15" s="311"/>
      <c r="H15" s="311"/>
      <c r="I15" s="311"/>
      <c r="J15" s="311"/>
      <c r="K15" s="311"/>
      <c r="L15" s="311"/>
      <c r="M15" s="509"/>
      <c r="N15" s="509"/>
      <c r="O15" s="311"/>
      <c r="P15" s="311"/>
      <c r="Q15" s="311"/>
    </row>
    <row r="16" spans="1:17" s="207" customFormat="1" ht="31.5" customHeight="1">
      <c r="B16" s="523" t="s">
        <v>1078</v>
      </c>
      <c r="C16" s="524"/>
      <c r="D16" s="524" t="s">
        <v>1079</v>
      </c>
      <c r="E16" s="510"/>
      <c r="F16" s="510"/>
      <c r="G16" s="510"/>
      <c r="H16" s="510"/>
      <c r="I16" s="510"/>
      <c r="J16" s="510"/>
      <c r="K16" s="510"/>
      <c r="L16" s="510"/>
      <c r="M16" s="509"/>
      <c r="N16" s="509"/>
      <c r="O16" s="510"/>
      <c r="P16" s="510"/>
      <c r="Q16" s="510"/>
    </row>
  </sheetData>
  <customSheetViews>
    <customSheetView guid="{CA0FB9E2-E541-4C74-BCFE-D75491869B36}">
      <selection activeCell="B14" sqref="B14:D16"/>
      <pageMargins left="0.7" right="0.7" top="0.75" bottom="0.75" header="0.3" footer="0.3"/>
      <pageSetup paperSize="9" orientation="portrait" r:id="rId1"/>
    </customSheetView>
    <customSheetView guid="{F10E3D8B-5892-420A-B023-68C6496D556B}">
      <selection activeCell="A12" sqref="A12:D12"/>
      <pageMargins left="0.7" right="0.7" top="0.75" bottom="0.75" header="0.3" footer="0.3"/>
      <pageSetup paperSize="9" orientation="portrait" r:id="rId2"/>
    </customSheetView>
    <customSheetView guid="{FE7E58EF-FECC-4DF6-BB75-BA97138CB219}">
      <selection activeCell="A2" sqref="A2:D2"/>
      <pageMargins left="0.7" right="0.7" top="0.75" bottom="0.75" header="0.3" footer="0.3"/>
      <pageSetup paperSize="9" orientation="portrait" r:id="rId3"/>
    </customSheetView>
    <customSheetView guid="{43136B00-66C6-4289-99D3-5EF20611F834}" showPageBreaks="1">
      <selection activeCell="A10" sqref="A10"/>
      <pageMargins left="0.7" right="0.7" top="0.75" bottom="0.75" header="0.3" footer="0.3"/>
      <pageSetup paperSize="9" orientation="portrait" r:id="rId4"/>
    </customSheetView>
    <customSheetView guid="{22820B9F-10DE-4629-AF3D-4AF98A9BCEDB}">
      <selection activeCell="E13" sqref="E13:E16"/>
      <pageMargins left="0.7" right="0.7" top="0.75" bottom="0.75" header="0.3" footer="0.3"/>
      <pageSetup paperSize="9" orientation="portrait" r:id="rId5"/>
    </customSheetView>
  </customSheetViews>
  <mergeCells count="2">
    <mergeCell ref="A3:D3"/>
    <mergeCell ref="A12:D12"/>
  </mergeCells>
  <phoneticPr fontId="116" type="noConversion"/>
  <pageMargins left="0.7" right="0.7" top="0.75" bottom="0.75" header="0.3" footer="0.3"/>
  <pageSetup paperSize="9" orientation="portrait" r:id="rId6"/>
</worksheet>
</file>

<file path=xl/worksheets/sheet94.xml><?xml version="1.0" encoding="utf-8"?>
<worksheet xmlns="http://schemas.openxmlformats.org/spreadsheetml/2006/main" xmlns:r="http://schemas.openxmlformats.org/officeDocument/2006/relationships">
  <dimension ref="A1:Q17"/>
  <sheetViews>
    <sheetView view="pageBreakPreview" topLeftCell="A4" zoomScale="60" zoomScaleNormal="100" workbookViewId="0">
      <selection activeCell="C5" sqref="A5:D12"/>
    </sheetView>
  </sheetViews>
  <sheetFormatPr defaultRowHeight="15"/>
  <cols>
    <col min="1" max="1" width="32.28515625" style="41" customWidth="1"/>
    <col min="2" max="2" width="15.5703125" style="41" customWidth="1"/>
    <col min="3" max="3" width="18.5703125" style="41" customWidth="1"/>
    <col min="4" max="4" width="18.28515625" style="41" customWidth="1"/>
    <col min="5" max="5" width="11.42578125" style="41" customWidth="1"/>
    <col min="6" max="6" width="12" style="41" customWidth="1"/>
    <col min="7" max="7" width="11.7109375" style="41" customWidth="1"/>
    <col min="8" max="8" width="14.28515625" style="41" customWidth="1"/>
    <col min="9" max="16384" width="9.140625" style="41"/>
  </cols>
  <sheetData>
    <row r="1" spans="1:17" ht="15.75">
      <c r="A1" s="439"/>
      <c r="B1" s="439"/>
      <c r="C1" s="439"/>
      <c r="D1" s="440" t="s">
        <v>977</v>
      </c>
      <c r="G1" s="6"/>
      <c r="H1" s="6"/>
    </row>
    <row r="2" spans="1:17" ht="15.75">
      <c r="A2" s="439"/>
      <c r="B2" s="439"/>
      <c r="C2" s="439"/>
      <c r="D2" s="439"/>
      <c r="G2" s="6"/>
      <c r="H2" s="6"/>
    </row>
    <row r="3" spans="1:17" ht="231.75" customHeight="1">
      <c r="A3" s="2073" t="s">
        <v>1913</v>
      </c>
      <c r="B3" s="2073"/>
      <c r="C3" s="2073"/>
      <c r="D3" s="2073"/>
      <c r="E3" s="113"/>
      <c r="F3" s="113"/>
      <c r="G3" s="113"/>
      <c r="H3" s="113"/>
      <c r="I3" s="107"/>
    </row>
    <row r="4" spans="1:17" ht="15.75">
      <c r="A4" s="439"/>
      <c r="B4" s="439"/>
      <c r="C4" s="439"/>
      <c r="D4" s="439"/>
    </row>
    <row r="5" spans="1:17" ht="47.25">
      <c r="A5" s="318" t="s">
        <v>1300</v>
      </c>
      <c r="B5" s="241" t="s">
        <v>1748</v>
      </c>
      <c r="C5" s="241" t="s">
        <v>938</v>
      </c>
      <c r="D5" s="368" t="s">
        <v>90</v>
      </c>
      <c r="E5" s="112"/>
      <c r="F5" s="50"/>
      <c r="G5" s="50"/>
    </row>
    <row r="6" spans="1:17" ht="15.75">
      <c r="A6" s="441" t="s">
        <v>1828</v>
      </c>
      <c r="B6" s="241"/>
      <c r="C6" s="368"/>
      <c r="D6" s="368"/>
      <c r="E6" s="112"/>
      <c r="F6" s="50"/>
      <c r="G6" s="50"/>
    </row>
    <row r="7" spans="1:17" ht="15.75">
      <c r="A7" s="442" t="s">
        <v>91</v>
      </c>
      <c r="B7" s="565"/>
      <c r="C7" s="566"/>
      <c r="D7" s="566"/>
      <c r="E7" s="110"/>
      <c r="F7" s="51"/>
      <c r="G7" s="51"/>
      <c r="I7" s="44"/>
    </row>
    <row r="8" spans="1:17" ht="15.75">
      <c r="A8" s="442" t="s">
        <v>92</v>
      </c>
      <c r="B8" s="565"/>
      <c r="C8" s="566"/>
      <c r="D8" s="566"/>
      <c r="E8" s="110"/>
      <c r="F8" s="51"/>
      <c r="G8" s="51"/>
      <c r="I8" s="52"/>
    </row>
    <row r="9" spans="1:17" ht="15.75">
      <c r="A9" s="442" t="s">
        <v>1755</v>
      </c>
      <c r="B9" s="565"/>
      <c r="C9" s="566"/>
      <c r="D9" s="566"/>
      <c r="E9" s="110"/>
      <c r="F9" s="51"/>
      <c r="G9" s="51"/>
      <c r="I9" s="52"/>
    </row>
    <row r="10" spans="1:17" ht="18" customHeight="1">
      <c r="A10" s="445" t="s">
        <v>183</v>
      </c>
      <c r="B10" s="443"/>
      <c r="C10" s="443"/>
      <c r="D10" s="444"/>
      <c r="E10" s="45"/>
      <c r="F10" s="53"/>
      <c r="G10" s="53"/>
    </row>
    <row r="11" spans="1:17" s="48" customFormat="1" ht="15.75">
      <c r="A11" s="567"/>
      <c r="B11" s="567"/>
      <c r="C11" s="567"/>
      <c r="D11" s="567"/>
    </row>
    <row r="12" spans="1:17" s="49" customFormat="1" ht="33" customHeight="1">
      <c r="A12" s="2074" t="s">
        <v>943</v>
      </c>
      <c r="B12" s="2074"/>
      <c r="C12" s="2074"/>
      <c r="D12" s="2074"/>
      <c r="E12" s="45"/>
      <c r="F12" s="53"/>
    </row>
    <row r="14" spans="1:17" s="207" customFormat="1" ht="15.75">
      <c r="A14" s="234" t="s">
        <v>1077</v>
      </c>
      <c r="B14" s="234"/>
      <c r="C14" s="507"/>
      <c r="D14" s="507"/>
      <c r="E14" s="311"/>
      <c r="F14" s="311"/>
      <c r="G14" s="311"/>
      <c r="H14" s="311"/>
      <c r="I14" s="311"/>
      <c r="J14" s="311"/>
      <c r="K14" s="311"/>
      <c r="L14" s="311"/>
      <c r="M14" s="509"/>
      <c r="N14" s="509"/>
      <c r="O14" s="311"/>
      <c r="P14" s="311"/>
      <c r="Q14" s="311"/>
    </row>
    <row r="15" spans="1:17" s="207" customFormat="1" ht="31.5" customHeight="1">
      <c r="A15" s="221"/>
      <c r="B15" s="221"/>
      <c r="C15" s="523" t="s">
        <v>1078</v>
      </c>
      <c r="D15" s="524" t="s">
        <v>1079</v>
      </c>
      <c r="E15" s="510"/>
      <c r="F15" s="510"/>
      <c r="G15" s="510"/>
      <c r="H15" s="510"/>
      <c r="I15" s="510"/>
      <c r="J15" s="510"/>
      <c r="K15" s="510"/>
      <c r="L15" s="510"/>
      <c r="M15" s="509"/>
      <c r="N15" s="509"/>
      <c r="O15" s="510"/>
      <c r="P15" s="510"/>
      <c r="Q15" s="510"/>
    </row>
    <row r="16" spans="1:17" s="207" customFormat="1" ht="15.75">
      <c r="A16" s="234" t="s">
        <v>1076</v>
      </c>
      <c r="B16" s="234"/>
      <c r="C16" s="529"/>
      <c r="D16" s="529"/>
      <c r="E16" s="311"/>
      <c r="F16" s="311"/>
      <c r="G16" s="311"/>
      <c r="H16" s="311"/>
      <c r="I16" s="311"/>
      <c r="J16" s="311"/>
      <c r="K16" s="311"/>
      <c r="L16" s="311"/>
      <c r="M16" s="509"/>
      <c r="N16" s="509"/>
      <c r="O16" s="311"/>
      <c r="P16" s="311"/>
      <c r="Q16" s="311"/>
    </row>
    <row r="17" spans="2:17" s="207" customFormat="1" ht="31.5" customHeight="1">
      <c r="B17" s="221"/>
      <c r="C17" s="523" t="s">
        <v>1078</v>
      </c>
      <c r="D17" s="524" t="s">
        <v>1079</v>
      </c>
      <c r="E17" s="510"/>
      <c r="F17" s="510"/>
      <c r="G17" s="510"/>
      <c r="H17" s="510"/>
      <c r="I17" s="510"/>
      <c r="J17" s="510"/>
      <c r="K17" s="510"/>
      <c r="L17" s="510"/>
      <c r="M17" s="509"/>
      <c r="N17" s="509"/>
      <c r="O17" s="510"/>
      <c r="P17" s="510"/>
      <c r="Q17" s="510"/>
    </row>
  </sheetData>
  <customSheetViews>
    <customSheetView guid="{CA0FB9E2-E541-4C74-BCFE-D75491869B36}" scale="60" showPageBreaks="1" printArea="1" view="pageBreakPreview">
      <selection activeCell="C15" sqref="C15:D17"/>
      <pageMargins left="0.7" right="0.7" top="0.75" bottom="0.75" header="0.3" footer="0.3"/>
      <pageSetup paperSize="9" orientation="portrait" r:id="rId1"/>
    </customSheetView>
    <customSheetView guid="{F10E3D8B-5892-420A-B023-68C6496D556B}" showPageBreaks="1" printArea="1">
      <selection activeCell="A12" sqref="A12:D12"/>
      <pageMargins left="0.7" right="0.7" top="0.75" bottom="0.75" header="0.3" footer="0.3"/>
      <pageSetup paperSize="9" orientation="portrait" r:id="rId2"/>
    </customSheetView>
    <customSheetView guid="{FE7E58EF-FECC-4DF6-BB75-BA97138CB219}" showPageBreaks="1" printArea="1">
      <selection activeCell="A8" sqref="A8"/>
      <pageMargins left="0.7" right="0.7" top="0.75" bottom="0.75" header="0.3" footer="0.3"/>
      <pageSetup paperSize="9" orientation="portrait" r:id="rId3"/>
    </customSheetView>
    <customSheetView guid="{43136B00-66C6-4289-99D3-5EF20611F834}" showPageBreaks="1" printArea="1">
      <selection activeCell="A10" sqref="A10"/>
      <pageMargins left="0.7" right="0.7" top="0.75" bottom="0.75" header="0.3" footer="0.3"/>
      <pageSetup paperSize="9" orientation="portrait" r:id="rId4"/>
    </customSheetView>
    <customSheetView guid="{22820B9F-10DE-4629-AF3D-4AF98A9BCEDB}" scale="60" showPageBreaks="1" printArea="1" view="pageBreakPreview">
      <selection activeCell="E14" sqref="E14:E17"/>
      <pageMargins left="0.7" right="0.7" top="0.75" bottom="0.75" header="0.3" footer="0.3"/>
      <pageSetup paperSize="9" orientation="portrait" r:id="rId5"/>
    </customSheetView>
  </customSheetViews>
  <mergeCells count="2">
    <mergeCell ref="A12:D12"/>
    <mergeCell ref="A3:D3"/>
  </mergeCells>
  <phoneticPr fontId="116" type="noConversion"/>
  <pageMargins left="0.7" right="0.7" top="0.75" bottom="0.75" header="0.3" footer="0.3"/>
  <pageSetup paperSize="9" orientation="portrait" r:id="rId6"/>
</worksheet>
</file>

<file path=xl/worksheets/sheet95.xml><?xml version="1.0" encoding="utf-8"?>
<worksheet xmlns="http://schemas.openxmlformats.org/spreadsheetml/2006/main" xmlns:r="http://schemas.openxmlformats.org/officeDocument/2006/relationships">
  <dimension ref="A1:Q17"/>
  <sheetViews>
    <sheetView view="pageBreakPreview" zoomScale="60" zoomScaleNormal="100" workbookViewId="0">
      <selection activeCell="A5" sqref="A5:D13"/>
    </sheetView>
  </sheetViews>
  <sheetFormatPr defaultRowHeight="15"/>
  <cols>
    <col min="1" max="1" width="32.28515625" style="41" customWidth="1"/>
    <col min="2" max="2" width="15.5703125" style="41" customWidth="1"/>
    <col min="3" max="3" width="18.5703125" style="41" customWidth="1"/>
    <col min="4" max="4" width="18.28515625" style="41" customWidth="1"/>
    <col min="5" max="5" width="11.42578125" style="41" customWidth="1"/>
    <col min="6" max="6" width="12" style="41" customWidth="1"/>
    <col min="7" max="7" width="11.7109375" style="41" customWidth="1"/>
    <col min="8" max="8" width="14.28515625" style="41" customWidth="1"/>
    <col min="9" max="16384" width="9.140625" style="41"/>
  </cols>
  <sheetData>
    <row r="1" spans="1:17" ht="15.75">
      <c r="A1" s="435"/>
      <c r="B1" s="435"/>
      <c r="C1" s="435"/>
      <c r="D1" s="209" t="s">
        <v>978</v>
      </c>
      <c r="G1" s="6"/>
      <c r="H1" s="6"/>
    </row>
    <row r="2" spans="1:17" ht="15.75">
      <c r="A2" s="435"/>
      <c r="B2" s="435"/>
      <c r="C2" s="435"/>
      <c r="D2" s="209"/>
      <c r="G2" s="6"/>
      <c r="H2" s="6"/>
    </row>
    <row r="3" spans="1:17" ht="161.25" customHeight="1">
      <c r="A3" s="2073" t="s">
        <v>1914</v>
      </c>
      <c r="B3" s="2073"/>
      <c r="C3" s="2073"/>
      <c r="D3" s="2073"/>
      <c r="E3" s="113"/>
      <c r="F3" s="113"/>
      <c r="G3" s="113"/>
      <c r="H3" s="113"/>
      <c r="I3" s="107"/>
    </row>
    <row r="4" spans="1:17" ht="15.75">
      <c r="A4" s="435"/>
      <c r="B4" s="435"/>
      <c r="C4" s="435"/>
      <c r="D4" s="435"/>
    </row>
    <row r="5" spans="1:17" ht="47.25">
      <c r="A5" s="318" t="s">
        <v>1300</v>
      </c>
      <c r="B5" s="241" t="s">
        <v>1748</v>
      </c>
      <c r="C5" s="241" t="s">
        <v>938</v>
      </c>
      <c r="D5" s="368" t="s">
        <v>90</v>
      </c>
      <c r="E5" s="112"/>
      <c r="F5" s="50"/>
      <c r="G5" s="50"/>
    </row>
    <row r="6" spans="1:17" ht="31.5">
      <c r="A6" s="364" t="s">
        <v>1836</v>
      </c>
      <c r="B6" s="241"/>
      <c r="C6" s="368"/>
      <c r="D6" s="368"/>
      <c r="E6" s="112"/>
      <c r="F6" s="50"/>
      <c r="G6" s="50"/>
    </row>
    <row r="7" spans="1:17" ht="15.75">
      <c r="A7" s="373" t="s">
        <v>91</v>
      </c>
      <c r="B7" s="560"/>
      <c r="C7" s="561"/>
      <c r="D7" s="561"/>
      <c r="E7" s="110"/>
      <c r="F7" s="51"/>
      <c r="G7" s="51"/>
      <c r="I7" s="44"/>
    </row>
    <row r="8" spans="1:17" ht="15.75">
      <c r="A8" s="373" t="s">
        <v>92</v>
      </c>
      <c r="B8" s="560"/>
      <c r="C8" s="561"/>
      <c r="D8" s="561"/>
      <c r="E8" s="110"/>
      <c r="F8" s="51"/>
      <c r="G8" s="51"/>
      <c r="I8" s="52"/>
    </row>
    <row r="9" spans="1:17" ht="15.75">
      <c r="A9" s="373" t="s">
        <v>1755</v>
      </c>
      <c r="B9" s="560"/>
      <c r="C9" s="561"/>
      <c r="D9" s="561"/>
      <c r="E9" s="110"/>
      <c r="F9" s="51"/>
      <c r="G9" s="51"/>
      <c r="I9" s="52"/>
    </row>
    <row r="10" spans="1:17" ht="18" customHeight="1">
      <c r="A10" s="438" t="s">
        <v>183</v>
      </c>
      <c r="B10" s="370"/>
      <c r="C10" s="370"/>
      <c r="D10" s="374"/>
      <c r="E10" s="45"/>
      <c r="F10" s="53"/>
      <c r="G10" s="53"/>
    </row>
    <row r="11" spans="1:17" s="48" customFormat="1" ht="15.75">
      <c r="A11" s="564"/>
      <c r="B11" s="564"/>
      <c r="C11" s="564"/>
      <c r="D11" s="564"/>
    </row>
    <row r="12" spans="1:17" s="49" customFormat="1" ht="33" customHeight="1">
      <c r="A12" s="1674" t="s">
        <v>943</v>
      </c>
      <c r="B12" s="1674"/>
      <c r="C12" s="1674"/>
      <c r="D12" s="1674"/>
      <c r="E12" s="45"/>
      <c r="F12" s="53"/>
    </row>
    <row r="13" spans="1:17">
      <c r="A13" s="69"/>
      <c r="B13" s="69"/>
      <c r="C13" s="69"/>
      <c r="D13" s="69"/>
    </row>
    <row r="14" spans="1:17" s="207" customFormat="1" ht="15.75">
      <c r="A14" s="234" t="s">
        <v>1077</v>
      </c>
      <c r="B14" s="234"/>
      <c r="C14" s="507"/>
      <c r="D14" s="507"/>
      <c r="E14" s="311"/>
      <c r="F14" s="311"/>
      <c r="G14" s="311"/>
      <c r="H14" s="311"/>
      <c r="I14" s="311"/>
      <c r="J14" s="311"/>
      <c r="K14" s="311"/>
      <c r="L14" s="311"/>
      <c r="M14" s="509"/>
      <c r="N14" s="509"/>
      <c r="O14" s="311"/>
      <c r="P14" s="311"/>
      <c r="Q14" s="311"/>
    </row>
    <row r="15" spans="1:17" s="207" customFormat="1" ht="31.5" customHeight="1">
      <c r="A15" s="221"/>
      <c r="B15" s="221"/>
      <c r="C15" s="523" t="s">
        <v>1078</v>
      </c>
      <c r="D15" s="524" t="s">
        <v>1079</v>
      </c>
      <c r="E15" s="510"/>
      <c r="F15" s="510"/>
      <c r="G15" s="510"/>
      <c r="H15" s="510"/>
      <c r="I15" s="510"/>
      <c r="J15" s="510"/>
      <c r="K15" s="510"/>
      <c r="L15" s="510"/>
      <c r="M15" s="509"/>
      <c r="N15" s="509"/>
      <c r="O15" s="510"/>
      <c r="P15" s="510"/>
      <c r="Q15" s="510"/>
    </row>
    <row r="16" spans="1:17" s="207" customFormat="1" ht="15.75">
      <c r="A16" s="234" t="s">
        <v>1076</v>
      </c>
      <c r="B16" s="234"/>
      <c r="C16" s="529"/>
      <c r="D16" s="529"/>
      <c r="E16" s="311"/>
      <c r="F16" s="311"/>
      <c r="G16" s="311"/>
      <c r="H16" s="311"/>
      <c r="I16" s="311"/>
      <c r="J16" s="311"/>
      <c r="K16" s="311"/>
      <c r="L16" s="311"/>
      <c r="M16" s="509"/>
      <c r="N16" s="509"/>
      <c r="O16" s="311"/>
      <c r="P16" s="311"/>
      <c r="Q16" s="311"/>
    </row>
    <row r="17" spans="2:17" s="207" customFormat="1" ht="31.5" customHeight="1">
      <c r="B17" s="221"/>
      <c r="C17" s="523" t="s">
        <v>1078</v>
      </c>
      <c r="D17" s="524" t="s">
        <v>1079</v>
      </c>
      <c r="E17" s="510"/>
      <c r="F17" s="510"/>
      <c r="G17" s="510"/>
      <c r="H17" s="510"/>
      <c r="I17" s="510"/>
      <c r="J17" s="510"/>
      <c r="K17" s="510"/>
      <c r="L17" s="510"/>
      <c r="M17" s="509"/>
      <c r="N17" s="509"/>
      <c r="O17" s="510"/>
      <c r="P17" s="510"/>
      <c r="Q17" s="510"/>
    </row>
  </sheetData>
  <customSheetViews>
    <customSheetView guid="{CA0FB9E2-E541-4C74-BCFE-D75491869B36}" scale="60" showPageBreaks="1" printArea="1" view="pageBreakPreview">
      <selection activeCell="C15" sqref="C15:D17"/>
      <pageMargins left="0.7" right="0.7" top="0.75" bottom="0.75" header="0.3" footer="0.3"/>
      <pageSetup paperSize="9" orientation="portrait" r:id="rId1"/>
    </customSheetView>
    <customSheetView guid="{F10E3D8B-5892-420A-B023-68C6496D556B}" showPageBreaks="1" printArea="1">
      <selection activeCell="A12" sqref="A12:D12"/>
      <pageMargins left="0.7" right="0.7" top="0.75" bottom="0.75" header="0.3" footer="0.3"/>
      <pageSetup paperSize="9" orientation="portrait" r:id="rId2"/>
    </customSheetView>
    <customSheetView guid="{FE7E58EF-FECC-4DF6-BB75-BA97138CB219}" showPageBreaks="1" printArea="1">
      <selection activeCell="A5" sqref="A5"/>
      <pageMargins left="0.7" right="0.7" top="0.75" bottom="0.75" header="0.3" footer="0.3"/>
      <pageSetup paperSize="9" orientation="portrait" r:id="rId3"/>
    </customSheetView>
    <customSheetView guid="{43136B00-66C6-4289-99D3-5EF20611F834}" showPageBreaks="1" printArea="1">
      <selection activeCell="A10" sqref="A10"/>
      <pageMargins left="0.7" right="0.7" top="0.75" bottom="0.75" header="0.3" footer="0.3"/>
      <pageSetup paperSize="9" orientation="portrait" r:id="rId4"/>
    </customSheetView>
    <customSheetView guid="{22820B9F-10DE-4629-AF3D-4AF98A9BCEDB}" scale="60" showPageBreaks="1" printArea="1" view="pageBreakPreview">
      <selection activeCell="L29" sqref="L29"/>
      <pageMargins left="0.7" right="0.7" top="0.75" bottom="0.75" header="0.3" footer="0.3"/>
      <pageSetup paperSize="9" orientation="portrait" r:id="rId5"/>
    </customSheetView>
  </customSheetViews>
  <mergeCells count="2">
    <mergeCell ref="A3:D3"/>
    <mergeCell ref="A12:D12"/>
  </mergeCells>
  <phoneticPr fontId="116" type="noConversion"/>
  <pageMargins left="0.7" right="0.7" top="0.75" bottom="0.75" header="0.3" footer="0.3"/>
  <pageSetup paperSize="9" orientation="portrait" r:id="rId6"/>
</worksheet>
</file>

<file path=xl/worksheets/sheet96.xml><?xml version="1.0" encoding="utf-8"?>
<worksheet xmlns="http://schemas.openxmlformats.org/spreadsheetml/2006/main" xmlns:r="http://schemas.openxmlformats.org/officeDocument/2006/relationships">
  <sheetPr codeName="Лист40"/>
  <dimension ref="A1:Q14"/>
  <sheetViews>
    <sheetView view="pageBreakPreview" zoomScale="60" zoomScaleNormal="100" workbookViewId="0">
      <selection activeCell="C8" sqref="C8"/>
    </sheetView>
  </sheetViews>
  <sheetFormatPr defaultRowHeight="15"/>
  <cols>
    <col min="1" max="1" width="33.7109375" style="1" customWidth="1"/>
    <col min="2" max="2" width="14" style="1" customWidth="1"/>
    <col min="3" max="3" width="12.28515625" style="1" customWidth="1"/>
    <col min="4" max="4" width="16.7109375" style="1" customWidth="1"/>
    <col min="5" max="5" width="17.140625" style="1" customWidth="1"/>
    <col min="6" max="6" width="13.85546875" style="1" customWidth="1"/>
    <col min="7" max="7" width="15.5703125" style="1" customWidth="1"/>
    <col min="8" max="8" width="13.85546875" style="1" customWidth="1"/>
    <col min="9" max="9" width="11.7109375" style="1" customWidth="1"/>
    <col min="10" max="16384" width="9.140625" style="1"/>
  </cols>
  <sheetData>
    <row r="1" spans="1:17" ht="15" customHeight="1">
      <c r="A1" s="234"/>
      <c r="B1" s="234"/>
      <c r="C1" s="234"/>
      <c r="D1" s="234"/>
      <c r="E1" s="209" t="s">
        <v>979</v>
      </c>
      <c r="G1" s="6"/>
      <c r="I1" s="6"/>
    </row>
    <row r="2" spans="1:17" ht="15" customHeight="1">
      <c r="A2" s="234"/>
      <c r="B2" s="234"/>
      <c r="C2" s="234"/>
      <c r="D2" s="234"/>
      <c r="E2" s="209"/>
      <c r="G2" s="6"/>
      <c r="I2" s="6"/>
    </row>
    <row r="3" spans="1:17" ht="20.45" customHeight="1">
      <c r="A3" s="2073" t="s">
        <v>1759</v>
      </c>
      <c r="B3" s="2073"/>
      <c r="C3" s="2073"/>
      <c r="D3" s="2073"/>
      <c r="E3" s="2073"/>
      <c r="F3" s="113"/>
      <c r="G3" s="113"/>
      <c r="H3" s="113"/>
      <c r="I3" s="8"/>
    </row>
    <row r="4" spans="1:17" ht="143.25" customHeight="1">
      <c r="A4" s="2073"/>
      <c r="B4" s="2073"/>
      <c r="C4" s="2073"/>
      <c r="D4" s="2073"/>
      <c r="E4" s="2073"/>
      <c r="F4" s="113"/>
      <c r="G4" s="113"/>
      <c r="H4" s="113"/>
      <c r="I4" s="8"/>
    </row>
    <row r="5" spans="1:17" ht="15.75">
      <c r="A5" s="234"/>
      <c r="B5" s="234"/>
      <c r="C5" s="234"/>
      <c r="D5" s="234"/>
      <c r="E5" s="234"/>
    </row>
    <row r="6" spans="1:17" ht="49.15" customHeight="1">
      <c r="A6" s="334" t="s">
        <v>1300</v>
      </c>
      <c r="B6" s="241" t="s">
        <v>1748</v>
      </c>
      <c r="C6" s="241" t="s">
        <v>1749</v>
      </c>
      <c r="D6" s="241" t="s">
        <v>940</v>
      </c>
      <c r="E6" s="368" t="s">
        <v>90</v>
      </c>
    </row>
    <row r="7" spans="1:17" ht="78.75">
      <c r="A7" s="231" t="s">
        <v>1757</v>
      </c>
      <c r="B7" s="353"/>
      <c r="C7" s="353"/>
      <c r="D7" s="232"/>
      <c r="E7" s="354"/>
    </row>
    <row r="8" spans="1:17" ht="63">
      <c r="A8" s="231" t="s">
        <v>1758</v>
      </c>
      <c r="B8" s="339"/>
      <c r="C8" s="230" t="s">
        <v>1296</v>
      </c>
      <c r="D8" s="353"/>
      <c r="E8" s="353"/>
      <c r="F8" s="35"/>
      <c r="G8" s="37"/>
      <c r="H8" s="37"/>
    </row>
    <row r="9" spans="1:17" ht="15.75">
      <c r="A9" s="2075" t="s">
        <v>183</v>
      </c>
      <c r="B9" s="2076"/>
      <c r="C9" s="2076"/>
      <c r="D9" s="2077"/>
      <c r="E9" s="353"/>
      <c r="F9" s="35"/>
      <c r="G9" s="37"/>
      <c r="H9" s="37"/>
    </row>
    <row r="11" spans="1:17" s="207" customFormat="1" ht="15.75">
      <c r="A11" s="234" t="s">
        <v>1077</v>
      </c>
      <c r="B11" s="234"/>
      <c r="C11" s="507"/>
      <c r="D11" s="311"/>
      <c r="E11" s="507"/>
      <c r="F11" s="311"/>
      <c r="G11" s="311"/>
      <c r="H11" s="311"/>
      <c r="I11" s="311"/>
      <c r="J11" s="311"/>
      <c r="K11" s="311"/>
      <c r="L11" s="311"/>
      <c r="M11" s="509"/>
      <c r="N11" s="509"/>
      <c r="O11" s="311"/>
      <c r="P11" s="311"/>
      <c r="Q11" s="311"/>
    </row>
    <row r="12" spans="1:17" s="207" customFormat="1" ht="31.5" customHeight="1">
      <c r="A12" s="221"/>
      <c r="B12" s="221"/>
      <c r="C12" s="523" t="s">
        <v>1078</v>
      </c>
      <c r="D12" s="524"/>
      <c r="E12" s="524" t="s">
        <v>1079</v>
      </c>
      <c r="F12" s="510"/>
      <c r="G12" s="510"/>
      <c r="H12" s="510"/>
      <c r="I12" s="510"/>
      <c r="J12" s="510"/>
      <c r="K12" s="510"/>
      <c r="L12" s="510"/>
      <c r="M12" s="509"/>
      <c r="N12" s="509"/>
      <c r="O12" s="510"/>
      <c r="P12" s="510"/>
      <c r="Q12" s="510"/>
    </row>
    <row r="13" spans="1:17" s="207" customFormat="1" ht="15.75">
      <c r="A13" s="234" t="s">
        <v>1076</v>
      </c>
      <c r="B13" s="234"/>
      <c r="C13" s="529"/>
      <c r="D13" s="528"/>
      <c r="E13" s="529"/>
      <c r="F13" s="311"/>
      <c r="G13" s="311"/>
      <c r="H13" s="311"/>
      <c r="I13" s="311"/>
      <c r="J13" s="311"/>
      <c r="K13" s="311"/>
      <c r="L13" s="311"/>
      <c r="M13" s="509"/>
      <c r="N13" s="509"/>
      <c r="O13" s="311"/>
      <c r="P13" s="311"/>
      <c r="Q13" s="311"/>
    </row>
    <row r="14" spans="1:17" s="207" customFormat="1" ht="31.5" customHeight="1">
      <c r="B14" s="221"/>
      <c r="C14" s="523" t="s">
        <v>1078</v>
      </c>
      <c r="D14" s="524"/>
      <c r="E14" s="524" t="s">
        <v>1079</v>
      </c>
      <c r="F14" s="510"/>
      <c r="G14" s="510"/>
      <c r="H14" s="510"/>
      <c r="I14" s="510"/>
      <c r="J14" s="510"/>
      <c r="K14" s="510"/>
      <c r="L14" s="510"/>
      <c r="M14" s="509"/>
      <c r="N14" s="509"/>
      <c r="O14" s="510"/>
      <c r="P14" s="510"/>
      <c r="Q14" s="510"/>
    </row>
  </sheetData>
  <customSheetViews>
    <customSheetView guid="{CA0FB9E2-E541-4C74-BCFE-D75491869B36}" scale="60" showPageBreaks="1" view="pageBreakPreview" topLeftCell="A4">
      <selection activeCell="C12" sqref="C12:E14"/>
      <pageMargins left="0.7" right="0.7" top="0.75" bottom="0.75" header="0.3" footer="0.3"/>
      <pageSetup paperSize="9" scale="93" orientation="portrait" r:id="rId1"/>
    </customSheetView>
    <customSheetView guid="{F10E3D8B-5892-420A-B023-68C6496D556B}">
      <selection activeCell="D6" sqref="D6"/>
      <pageMargins left="0.7" right="0.7" top="0.75" bottom="0.75" header="0.3" footer="0.3"/>
      <pageSetup paperSize="9" orientation="portrait" r:id="rId2"/>
    </customSheetView>
    <customSheetView guid="{FE7E58EF-FECC-4DF6-BB75-BA97138CB219}">
      <selection activeCell="A6" sqref="A6:A7"/>
      <pageMargins left="0.7" right="0.7" top="0.75" bottom="0.75" header="0.3" footer="0.3"/>
      <pageSetup paperSize="9" orientation="portrait" r:id="rId3"/>
    </customSheetView>
    <customSheetView guid="{43136B00-66C6-4289-99D3-5EF20611F834}" showPageBreaks="1">
      <selection activeCell="A9" sqref="A9:D9"/>
      <pageMargins left="0.7" right="0.7" top="0.75" bottom="0.75" header="0.3" footer="0.3"/>
      <pageSetup paperSize="9" scale="93" orientation="portrait" r:id="rId4"/>
    </customSheetView>
    <customSheetView guid="{22820B9F-10DE-4629-AF3D-4AF98A9BCEDB}" scale="60" showPageBreaks="1" view="pageBreakPreview" topLeftCell="A4">
      <selection activeCell="G32" sqref="G32"/>
      <pageMargins left="0.7" right="0.7" top="0.75" bottom="0.75" header="0.3" footer="0.3"/>
      <pageSetup paperSize="9" scale="93" orientation="portrait" r:id="rId5"/>
    </customSheetView>
  </customSheetViews>
  <mergeCells count="2">
    <mergeCell ref="A3:E4"/>
    <mergeCell ref="A9:D9"/>
  </mergeCells>
  <phoneticPr fontId="116" type="noConversion"/>
  <pageMargins left="0.7" right="0.7" top="0.75" bottom="0.75" header="0.3" footer="0.3"/>
  <pageSetup paperSize="9" scale="93" orientation="portrait" r:id="rId6"/>
</worksheet>
</file>

<file path=xl/worksheets/sheet97.xml><?xml version="1.0" encoding="utf-8"?>
<worksheet xmlns="http://schemas.openxmlformats.org/spreadsheetml/2006/main" xmlns:r="http://schemas.openxmlformats.org/officeDocument/2006/relationships">
  <dimension ref="A1:Q14"/>
  <sheetViews>
    <sheetView view="pageBreakPreview" zoomScale="85" zoomScaleNormal="100" zoomScaleSheetLayoutView="85" workbookViewId="0">
      <selection activeCell="C11" sqref="C11"/>
    </sheetView>
  </sheetViews>
  <sheetFormatPr defaultRowHeight="15"/>
  <cols>
    <col min="1" max="1" width="38.7109375" style="1" customWidth="1"/>
    <col min="2" max="2" width="14" style="1" customWidth="1"/>
    <col min="3" max="3" width="16.7109375" style="1" customWidth="1"/>
    <col min="4" max="4" width="15" style="1" customWidth="1"/>
    <col min="5" max="5" width="13.85546875" style="1" customWidth="1"/>
    <col min="6" max="6" width="15.5703125" style="1" customWidth="1"/>
    <col min="7" max="7" width="13.85546875" style="1" customWidth="1"/>
    <col min="8" max="8" width="11.7109375" style="1" customWidth="1"/>
    <col min="9" max="16384" width="9.140625" style="1"/>
  </cols>
  <sheetData>
    <row r="1" spans="1:17" ht="15" customHeight="1">
      <c r="A1" s="234"/>
      <c r="B1" s="234"/>
      <c r="C1" s="234"/>
      <c r="D1" s="209" t="s">
        <v>980</v>
      </c>
      <c r="F1" s="6"/>
      <c r="H1" s="6"/>
    </row>
    <row r="2" spans="1:17" ht="15" customHeight="1">
      <c r="A2" s="234"/>
      <c r="B2" s="234"/>
      <c r="C2" s="234"/>
      <c r="D2" s="234"/>
      <c r="F2" s="6"/>
      <c r="H2" s="6"/>
    </row>
    <row r="3" spans="1:17" ht="20.45" customHeight="1">
      <c r="A3" s="2073" t="s">
        <v>1760</v>
      </c>
      <c r="B3" s="2073"/>
      <c r="C3" s="2073"/>
      <c r="D3" s="2073"/>
      <c r="E3" s="113"/>
      <c r="F3" s="113"/>
      <c r="G3" s="113"/>
      <c r="H3" s="8"/>
    </row>
    <row r="4" spans="1:17" ht="159" customHeight="1">
      <c r="A4" s="2073"/>
      <c r="B4" s="2073"/>
      <c r="C4" s="2073"/>
      <c r="D4" s="2073"/>
      <c r="E4" s="113"/>
      <c r="F4" s="113"/>
      <c r="G4" s="113"/>
      <c r="H4" s="8"/>
    </row>
    <row r="5" spans="1:17" ht="15.75">
      <c r="A5" s="234"/>
      <c r="B5" s="234"/>
      <c r="C5" s="234"/>
      <c r="D5" s="234"/>
    </row>
    <row r="6" spans="1:17" ht="50.25" customHeight="1">
      <c r="A6" s="334" t="s">
        <v>1300</v>
      </c>
      <c r="B6" s="241" t="s">
        <v>1750</v>
      </c>
      <c r="C6" s="241" t="s">
        <v>940</v>
      </c>
      <c r="D6" s="368" t="s">
        <v>90</v>
      </c>
    </row>
    <row r="7" spans="1:17" ht="15.75">
      <c r="A7" s="334"/>
      <c r="B7" s="241"/>
      <c r="C7" s="241"/>
      <c r="D7" s="368"/>
    </row>
    <row r="8" spans="1:17" ht="15.75">
      <c r="A8" s="231"/>
      <c r="B8" s="353"/>
      <c r="C8" s="232"/>
      <c r="D8" s="354"/>
    </row>
    <row r="9" spans="1:17" ht="15.75">
      <c r="A9" s="2078" t="s">
        <v>183</v>
      </c>
      <c r="B9" s="2079"/>
      <c r="C9" s="2080"/>
      <c r="D9" s="353"/>
      <c r="E9" s="35"/>
      <c r="F9" s="37"/>
      <c r="G9" s="37"/>
    </row>
    <row r="11" spans="1:17" s="207" customFormat="1" ht="15.75">
      <c r="A11" s="234" t="s">
        <v>1077</v>
      </c>
      <c r="B11" s="507"/>
      <c r="C11" s="311"/>
      <c r="D11" s="507"/>
      <c r="E11" s="311"/>
      <c r="F11" s="311"/>
      <c r="G11" s="311"/>
      <c r="H11" s="311"/>
      <c r="I11" s="311"/>
      <c r="J11" s="311"/>
      <c r="K11" s="311"/>
      <c r="L11" s="311"/>
      <c r="M11" s="509"/>
      <c r="N11" s="509"/>
      <c r="O11" s="311"/>
      <c r="P11" s="311"/>
      <c r="Q11" s="311"/>
    </row>
    <row r="12" spans="1:17" s="207" customFormat="1" ht="31.5" customHeight="1">
      <c r="A12" s="221"/>
      <c r="B12" s="523" t="s">
        <v>1078</v>
      </c>
      <c r="C12" s="524"/>
      <c r="D12" s="524" t="s">
        <v>1079</v>
      </c>
      <c r="E12" s="510"/>
      <c r="F12" s="510"/>
      <c r="G12" s="510"/>
      <c r="H12" s="510"/>
      <c r="I12" s="510"/>
      <c r="J12" s="510"/>
      <c r="K12" s="510"/>
      <c r="L12" s="510"/>
      <c r="M12" s="509"/>
      <c r="N12" s="509"/>
      <c r="O12" s="510"/>
      <c r="P12" s="510"/>
      <c r="Q12" s="510"/>
    </row>
    <row r="13" spans="1:17" s="207" customFormat="1" ht="15.75">
      <c r="A13" s="234" t="s">
        <v>1076</v>
      </c>
      <c r="B13" s="529"/>
      <c r="C13" s="528"/>
      <c r="D13" s="529"/>
      <c r="E13" s="311"/>
      <c r="F13" s="311"/>
      <c r="G13" s="311"/>
      <c r="H13" s="311"/>
      <c r="I13" s="311"/>
      <c r="J13" s="311"/>
      <c r="K13" s="311"/>
      <c r="L13" s="311"/>
      <c r="M13" s="509"/>
      <c r="N13" s="509"/>
      <c r="O13" s="311"/>
      <c r="P13" s="311"/>
      <c r="Q13" s="311"/>
    </row>
    <row r="14" spans="1:17" s="207" customFormat="1" ht="31.5" customHeight="1">
      <c r="B14" s="523" t="s">
        <v>1078</v>
      </c>
      <c r="C14" s="524"/>
      <c r="D14" s="524" t="s">
        <v>1079</v>
      </c>
      <c r="E14" s="510"/>
      <c r="F14" s="510"/>
      <c r="G14" s="510"/>
      <c r="H14" s="510"/>
      <c r="I14" s="510"/>
      <c r="J14" s="510"/>
      <c r="K14" s="510"/>
      <c r="L14" s="510"/>
      <c r="M14" s="509"/>
      <c r="N14" s="509"/>
      <c r="O14" s="510"/>
      <c r="P14" s="510"/>
      <c r="Q14" s="510"/>
    </row>
  </sheetData>
  <customSheetViews>
    <customSheetView guid="{CA0FB9E2-E541-4C74-BCFE-D75491869B36}" scale="85" showPageBreaks="1" view="pageBreakPreview">
      <selection activeCell="B12" sqref="B12:D14"/>
      <pageMargins left="0.7" right="0.7" top="0.75" bottom="0.75" header="0.3" footer="0.3"/>
      <pageSetup paperSize="9" orientation="portrait" r:id="rId1"/>
    </customSheetView>
    <customSheetView guid="{F10E3D8B-5892-420A-B023-68C6496D556B}">
      <selection activeCell="A3" sqref="A3:D4"/>
      <pageMargins left="0.7" right="0.7" top="0.75" bottom="0.75" header="0.3" footer="0.3"/>
      <pageSetup paperSize="9" orientation="portrait" r:id="rId2"/>
    </customSheetView>
    <customSheetView guid="{FE7E58EF-FECC-4DF6-BB75-BA97138CB219}">
      <selection activeCell="A2" sqref="A2:D4"/>
      <pageMargins left="0.7" right="0.7" top="0.75" bottom="0.75" header="0.3" footer="0.3"/>
      <pageSetup paperSize="9" orientation="portrait" r:id="rId3"/>
    </customSheetView>
    <customSheetView guid="{43136B00-66C6-4289-99D3-5EF20611F834}" showPageBreaks="1">
      <selection activeCell="A3" sqref="A3:D4"/>
      <pageMargins left="0.7" right="0.7" top="0.75" bottom="0.75" header="0.3" footer="0.3"/>
      <pageSetup paperSize="9" orientation="portrait" r:id="rId4"/>
    </customSheetView>
    <customSheetView guid="{22820B9F-10DE-4629-AF3D-4AF98A9BCEDB}" scale="85" showPageBreaks="1" view="pageBreakPreview">
      <selection activeCell="I17" sqref="I17:I18"/>
      <pageMargins left="0.7" right="0.7" top="0.75" bottom="0.75" header="0.3" footer="0.3"/>
      <pageSetup paperSize="9" orientation="portrait" r:id="rId5"/>
    </customSheetView>
  </customSheetViews>
  <mergeCells count="2">
    <mergeCell ref="A3:D4"/>
    <mergeCell ref="A9:C9"/>
  </mergeCells>
  <phoneticPr fontId="116" type="noConversion"/>
  <pageMargins left="0.7" right="0.7" top="0.75" bottom="0.75" header="0.3" footer="0.3"/>
  <pageSetup paperSize="9" orientation="portrait" r:id="rId6"/>
</worksheet>
</file>

<file path=xl/worksheets/sheet98.xml><?xml version="1.0" encoding="utf-8"?>
<worksheet xmlns="http://schemas.openxmlformats.org/spreadsheetml/2006/main" xmlns:r="http://schemas.openxmlformats.org/officeDocument/2006/relationships">
  <sheetPr codeName="Лист41"/>
  <dimension ref="A1:Q16"/>
  <sheetViews>
    <sheetView workbookViewId="0">
      <selection activeCell="A5" sqref="A5:E11"/>
    </sheetView>
  </sheetViews>
  <sheetFormatPr defaultRowHeight="15"/>
  <cols>
    <col min="1" max="1" width="21" style="42" customWidth="1"/>
    <col min="2" max="2" width="13" style="42" customWidth="1"/>
    <col min="3" max="3" width="14.85546875" style="42" customWidth="1"/>
    <col min="4" max="4" width="17.28515625" style="42" customWidth="1"/>
    <col min="5" max="5" width="16.140625" style="42" customWidth="1"/>
    <col min="6" max="6" width="9.85546875" style="42" customWidth="1"/>
    <col min="7" max="7" width="11" style="42" customWidth="1"/>
    <col min="8" max="8" width="17.140625" style="42" customWidth="1"/>
    <col min="9" max="9" width="12.28515625" style="42" customWidth="1"/>
    <col min="10" max="10" width="9.140625" style="42"/>
    <col min="11" max="16384" width="9.140625" style="41"/>
  </cols>
  <sheetData>
    <row r="1" spans="1:17" ht="15.75">
      <c r="A1" s="435"/>
      <c r="B1" s="436"/>
      <c r="C1" s="435"/>
      <c r="D1" s="435"/>
      <c r="E1" s="209" t="s">
        <v>981</v>
      </c>
      <c r="F1" s="41"/>
      <c r="G1" s="6"/>
      <c r="H1" s="41"/>
      <c r="I1" s="6"/>
    </row>
    <row r="2" spans="1:17" ht="15.75">
      <c r="A2" s="435"/>
      <c r="B2" s="436"/>
      <c r="C2" s="435"/>
      <c r="D2" s="435"/>
      <c r="E2" s="435"/>
      <c r="F2" s="41"/>
      <c r="G2" s="6"/>
      <c r="H2" s="41"/>
      <c r="I2" s="6"/>
    </row>
    <row r="3" spans="1:17" ht="103.5" customHeight="1">
      <c r="A3" s="1841" t="s">
        <v>1761</v>
      </c>
      <c r="B3" s="1841"/>
      <c r="C3" s="1841"/>
      <c r="D3" s="1841"/>
      <c r="E3" s="1841"/>
      <c r="F3" s="111"/>
      <c r="G3" s="111"/>
      <c r="H3" s="111"/>
      <c r="I3" s="7"/>
    </row>
    <row r="4" spans="1:17" ht="15.75">
      <c r="A4" s="437"/>
      <c r="B4" s="437"/>
      <c r="C4" s="437"/>
      <c r="D4" s="437"/>
      <c r="E4" s="437"/>
      <c r="F4" s="23"/>
      <c r="G4" s="23"/>
      <c r="H4" s="23"/>
      <c r="I4" s="7"/>
    </row>
    <row r="5" spans="1:17" ht="63">
      <c r="A5" s="318" t="s">
        <v>1300</v>
      </c>
      <c r="B5" s="241" t="s">
        <v>1750</v>
      </c>
      <c r="C5" s="241" t="s">
        <v>1751</v>
      </c>
      <c r="D5" s="241" t="s">
        <v>938</v>
      </c>
      <c r="E5" s="368" t="s">
        <v>90</v>
      </c>
      <c r="I5" s="41"/>
    </row>
    <row r="6" spans="1:17" ht="15.75">
      <c r="A6" s="568" t="s">
        <v>91</v>
      </c>
      <c r="B6" s="319"/>
      <c r="C6" s="319"/>
      <c r="D6" s="569"/>
      <c r="E6" s="562"/>
      <c r="I6" s="44"/>
      <c r="J6" s="41"/>
    </row>
    <row r="7" spans="1:17" ht="15.75">
      <c r="A7" s="568" t="s">
        <v>92</v>
      </c>
      <c r="B7" s="319"/>
      <c r="C7" s="319"/>
      <c r="D7" s="569"/>
      <c r="E7" s="562"/>
      <c r="I7" s="44"/>
      <c r="J7" s="41"/>
    </row>
    <row r="8" spans="1:17" ht="15.75">
      <c r="A8" s="438" t="s">
        <v>183</v>
      </c>
      <c r="B8" s="370"/>
      <c r="C8" s="370"/>
      <c r="D8" s="370"/>
      <c r="E8" s="563"/>
      <c r="I8" s="41"/>
    </row>
    <row r="9" spans="1:17" ht="13.5" customHeight="1">
      <c r="A9" s="371"/>
      <c r="B9" s="371"/>
      <c r="C9" s="570"/>
      <c r="D9" s="372"/>
      <c r="E9" s="372"/>
      <c r="F9" s="45"/>
      <c r="G9" s="45"/>
      <c r="H9" s="46"/>
      <c r="I9" s="41"/>
    </row>
    <row r="10" spans="1:17" ht="34.700000000000003" customHeight="1">
      <c r="A10" s="1505" t="s">
        <v>943</v>
      </c>
      <c r="B10" s="1505"/>
      <c r="C10" s="1505"/>
      <c r="D10" s="1505"/>
      <c r="E10" s="1505"/>
      <c r="F10" s="40"/>
      <c r="G10" s="40"/>
      <c r="H10" s="40"/>
      <c r="I10" s="40"/>
    </row>
    <row r="11" spans="1:17">
      <c r="A11" s="69"/>
      <c r="B11" s="571"/>
      <c r="C11" s="69"/>
      <c r="D11" s="69"/>
      <c r="E11" s="69"/>
      <c r="F11" s="41"/>
      <c r="G11" s="41"/>
      <c r="H11" s="41"/>
      <c r="I11" s="41"/>
    </row>
    <row r="12" spans="1:17" s="207" customFormat="1" ht="15.75">
      <c r="A12" s="234" t="s">
        <v>1077</v>
      </c>
      <c r="B12" s="234"/>
      <c r="C12" s="507"/>
      <c r="D12" s="311"/>
      <c r="E12" s="507"/>
      <c r="F12" s="311"/>
      <c r="G12" s="311"/>
      <c r="H12" s="311"/>
      <c r="I12" s="311"/>
      <c r="J12" s="311"/>
      <c r="K12" s="311"/>
      <c r="L12" s="311"/>
      <c r="M12" s="509"/>
      <c r="N12" s="509"/>
      <c r="O12" s="311"/>
      <c r="P12" s="311"/>
      <c r="Q12" s="311"/>
    </row>
    <row r="13" spans="1:17" s="207" customFormat="1" ht="31.5" customHeight="1">
      <c r="A13" s="221"/>
      <c r="B13" s="221"/>
      <c r="C13" s="523" t="s">
        <v>1078</v>
      </c>
      <c r="D13" s="524"/>
      <c r="E13" s="524" t="s">
        <v>1079</v>
      </c>
      <c r="F13" s="510"/>
      <c r="G13" s="510"/>
      <c r="H13" s="510"/>
      <c r="I13" s="510"/>
      <c r="J13" s="510"/>
      <c r="K13" s="510"/>
      <c r="L13" s="510"/>
      <c r="M13" s="509"/>
      <c r="N13" s="509"/>
      <c r="O13" s="510"/>
      <c r="P13" s="510"/>
      <c r="Q13" s="510"/>
    </row>
    <row r="14" spans="1:17" s="207" customFormat="1" ht="15.75">
      <c r="A14" s="234" t="s">
        <v>1076</v>
      </c>
      <c r="B14" s="234"/>
      <c r="C14" s="529"/>
      <c r="D14" s="528"/>
      <c r="E14" s="529"/>
      <c r="F14" s="311"/>
      <c r="G14" s="311"/>
      <c r="H14" s="311"/>
      <c r="I14" s="311"/>
      <c r="J14" s="311"/>
      <c r="K14" s="311"/>
      <c r="L14" s="311"/>
      <c r="M14" s="509"/>
      <c r="N14" s="509"/>
      <c r="O14" s="311"/>
      <c r="P14" s="311"/>
      <c r="Q14" s="311"/>
    </row>
    <row r="15" spans="1:17" s="207" customFormat="1" ht="31.5" customHeight="1">
      <c r="B15" s="221"/>
      <c r="C15" s="523" t="s">
        <v>1078</v>
      </c>
      <c r="D15" s="524"/>
      <c r="E15" s="524" t="s">
        <v>1079</v>
      </c>
      <c r="F15" s="510"/>
      <c r="G15" s="510"/>
      <c r="H15" s="510"/>
      <c r="I15" s="510"/>
      <c r="J15" s="510"/>
      <c r="K15" s="510"/>
      <c r="L15" s="510"/>
      <c r="M15" s="509"/>
      <c r="N15" s="509"/>
      <c r="O15" s="510"/>
      <c r="P15" s="510"/>
      <c r="Q15" s="510"/>
    </row>
    <row r="16" spans="1:17">
      <c r="E16" s="42" t="s">
        <v>77</v>
      </c>
    </row>
  </sheetData>
  <customSheetViews>
    <customSheetView guid="{CA0FB9E2-E541-4C74-BCFE-D75491869B36}">
      <selection activeCell="C13" sqref="C13:E15"/>
      <pageMargins left="0.7" right="0.7" top="0.75" bottom="0.75" header="0.3" footer="0.3"/>
      <pageSetup paperSize="9" orientation="portrait" horizontalDpi="4294967295" verticalDpi="4294967295" r:id="rId1"/>
    </customSheetView>
    <customSheetView guid="{F10E3D8B-5892-420A-B023-68C6496D556B}">
      <selection activeCell="A10" sqref="A10:E10"/>
      <pageMargins left="0.7" right="0.7" top="0.75" bottom="0.75" header="0.3" footer="0.3"/>
    </customSheetView>
    <customSheetView guid="{FE7E58EF-FECC-4DF6-BB75-BA97138CB219}">
      <selection activeCell="A3" sqref="A3:E3"/>
      <pageMargins left="0.7" right="0.7" top="0.75" bottom="0.75" header="0.3" footer="0.3"/>
    </customSheetView>
    <customSheetView guid="{43136B00-66C6-4289-99D3-5EF20611F834}" showPageBreaks="1">
      <selection activeCell="A8" sqref="A8"/>
      <pageMargins left="0.7" right="0.7" top="0.75" bottom="0.75" header="0.3" footer="0.3"/>
      <pageSetup paperSize="9" orientation="portrait" horizontalDpi="4294967295" verticalDpi="4294967295" r:id="rId2"/>
    </customSheetView>
    <customSheetView guid="{22820B9F-10DE-4629-AF3D-4AF98A9BCEDB}">
      <selection activeCell="A12" sqref="A12:IV15"/>
      <pageMargins left="0.7" right="0.7" top="0.75" bottom="0.75" header="0.3" footer="0.3"/>
      <pageSetup paperSize="9" orientation="portrait" horizontalDpi="4294967295" verticalDpi="4294967295" r:id="rId3"/>
    </customSheetView>
  </customSheetViews>
  <mergeCells count="2">
    <mergeCell ref="A10:E10"/>
    <mergeCell ref="A3:E3"/>
  </mergeCells>
  <phoneticPr fontId="116" type="noConversion"/>
  <pageMargins left="0.7" right="0.7" top="0.75" bottom="0.75" header="0.3" footer="0.3"/>
  <pageSetup paperSize="9" orientation="portrait" horizontalDpi="4294967295" verticalDpi="4294967295" r:id="rId4"/>
</worksheet>
</file>

<file path=xl/worksheets/sheet99.xml><?xml version="1.0" encoding="utf-8"?>
<worksheet xmlns="http://schemas.openxmlformats.org/spreadsheetml/2006/main" xmlns:r="http://schemas.openxmlformats.org/officeDocument/2006/relationships">
  <sheetPr codeName="Лист42"/>
  <dimension ref="A1:Q32"/>
  <sheetViews>
    <sheetView view="pageBreakPreview" zoomScale="91" zoomScaleNormal="100" zoomScaleSheetLayoutView="91" workbookViewId="0">
      <selection activeCell="G27" sqref="G27"/>
    </sheetView>
  </sheetViews>
  <sheetFormatPr defaultRowHeight="15"/>
  <cols>
    <col min="1" max="1" width="33" style="1" customWidth="1"/>
    <col min="2" max="2" width="13.42578125" style="1" customWidth="1"/>
    <col min="3" max="3" width="13.7109375" style="1" customWidth="1"/>
    <col min="4" max="4" width="15" style="1" customWidth="1"/>
    <col min="5" max="5" width="19.85546875" style="1" customWidth="1"/>
    <col min="6" max="6" width="10.5703125" style="1" customWidth="1"/>
    <col min="7" max="7" width="14" style="1" customWidth="1"/>
    <col min="8" max="16384" width="9.140625" style="1"/>
  </cols>
  <sheetData>
    <row r="1" spans="1:17" ht="15.75">
      <c r="A1" s="234"/>
      <c r="B1" s="234"/>
      <c r="C1" s="234"/>
      <c r="D1" s="420"/>
      <c r="E1" s="209" t="s">
        <v>1915</v>
      </c>
      <c r="G1" s="32"/>
    </row>
    <row r="2" spans="1:17" ht="15.75">
      <c r="A2" s="234"/>
      <c r="B2" s="234"/>
      <c r="C2" s="234"/>
      <c r="D2" s="420"/>
      <c r="E2" s="209"/>
      <c r="G2" s="32"/>
    </row>
    <row r="3" spans="1:17" ht="295.5" customHeight="1">
      <c r="A3" s="1841" t="s">
        <v>334</v>
      </c>
      <c r="B3" s="1841"/>
      <c r="C3" s="1841"/>
      <c r="D3" s="1841"/>
      <c r="E3" s="1841"/>
      <c r="F3" s="5"/>
      <c r="G3" s="5"/>
    </row>
    <row r="4" spans="1:17" ht="15.75">
      <c r="A4" s="446"/>
      <c r="B4" s="234"/>
      <c r="C4" s="447"/>
      <c r="D4" s="447"/>
      <c r="E4" s="448"/>
      <c r="F4" s="34"/>
    </row>
    <row r="5" spans="1:17" s="38" customFormat="1" ht="81.75" customHeight="1">
      <c r="A5" s="318" t="s">
        <v>1300</v>
      </c>
      <c r="B5" s="375" t="s">
        <v>1752</v>
      </c>
      <c r="C5" s="241" t="s">
        <v>941</v>
      </c>
      <c r="D5" s="241" t="s">
        <v>1751</v>
      </c>
      <c r="E5" s="368" t="s">
        <v>90</v>
      </c>
    </row>
    <row r="6" spans="1:17" s="38" customFormat="1" ht="68.25" customHeight="1">
      <c r="A6" s="352" t="s">
        <v>96</v>
      </c>
      <c r="B6" s="353"/>
      <c r="C6" s="232"/>
      <c r="D6" s="338"/>
      <c r="E6" s="232">
        <f>B6*C6*D6</f>
        <v>0</v>
      </c>
      <c r="F6" s="4"/>
      <c r="H6" s="4"/>
    </row>
    <row r="7" spans="1:17" s="38" customFormat="1" ht="95.25" customHeight="1">
      <c r="A7" s="352" t="s">
        <v>184</v>
      </c>
      <c r="B7" s="353"/>
      <c r="C7" s="232"/>
      <c r="D7" s="338"/>
      <c r="E7" s="232">
        <f>B7*C7*D7</f>
        <v>0</v>
      </c>
      <c r="F7" s="4"/>
      <c r="H7" s="4"/>
    </row>
    <row r="8" spans="1:17" s="38" customFormat="1" ht="29.25" customHeight="1">
      <c r="A8" s="352" t="s">
        <v>97</v>
      </c>
      <c r="B8" s="353"/>
      <c r="C8" s="232"/>
      <c r="D8" s="338"/>
      <c r="E8" s="232">
        <f>B8*C8*D8</f>
        <v>0</v>
      </c>
      <c r="F8" s="4"/>
      <c r="H8" s="4"/>
    </row>
    <row r="9" spans="1:17" s="38" customFormat="1" ht="15.75">
      <c r="A9" s="2081" t="s">
        <v>183</v>
      </c>
      <c r="B9" s="2081"/>
      <c r="C9" s="2081"/>
      <c r="D9" s="2081"/>
      <c r="E9" s="232">
        <f>SUM(E6:E8)</f>
        <v>0</v>
      </c>
    </row>
    <row r="10" spans="1:17" s="38" customFormat="1" ht="15.75">
      <c r="A10" s="376"/>
      <c r="B10" s="376"/>
      <c r="C10" s="376"/>
      <c r="D10" s="376"/>
      <c r="E10" s="377"/>
    </row>
    <row r="11" spans="1:17" s="38" customFormat="1" ht="15.75">
      <c r="A11" s="378"/>
      <c r="B11" s="378"/>
      <c r="C11" s="378"/>
      <c r="D11" s="378"/>
      <c r="E11" s="378"/>
    </row>
    <row r="12" spans="1:17" s="207" customFormat="1" ht="15.75">
      <c r="A12" s="234" t="s">
        <v>1077</v>
      </c>
      <c r="B12" s="234"/>
      <c r="C12" s="507"/>
      <c r="D12" s="311"/>
      <c r="E12" s="507"/>
      <c r="F12" s="311"/>
      <c r="G12" s="311"/>
      <c r="H12" s="311"/>
      <c r="I12" s="311"/>
      <c r="J12" s="311"/>
      <c r="K12" s="311"/>
      <c r="L12" s="311"/>
      <c r="M12" s="509"/>
      <c r="N12" s="509"/>
      <c r="O12" s="311"/>
      <c r="P12" s="311"/>
      <c r="Q12" s="311"/>
    </row>
    <row r="13" spans="1:17" s="207" customFormat="1" ht="31.5" customHeight="1">
      <c r="A13" s="221"/>
      <c r="B13" s="221"/>
      <c r="C13" s="523" t="s">
        <v>1078</v>
      </c>
      <c r="D13" s="524"/>
      <c r="E13" s="524" t="s">
        <v>1079</v>
      </c>
      <c r="F13" s="510"/>
      <c r="G13" s="510"/>
      <c r="H13" s="510"/>
      <c r="I13" s="510"/>
      <c r="J13" s="510"/>
      <c r="K13" s="510"/>
      <c r="L13" s="510"/>
      <c r="M13" s="509"/>
      <c r="N13" s="509"/>
      <c r="O13" s="510"/>
      <c r="P13" s="510"/>
      <c r="Q13" s="510"/>
    </row>
    <row r="14" spans="1:17" s="207" customFormat="1" ht="15.75">
      <c r="A14" s="234" t="s">
        <v>1076</v>
      </c>
      <c r="B14" s="234"/>
      <c r="C14" s="529"/>
      <c r="D14" s="528"/>
      <c r="E14" s="529"/>
      <c r="F14" s="311"/>
      <c r="G14" s="311"/>
      <c r="H14" s="311"/>
      <c r="I14" s="311"/>
      <c r="J14" s="311"/>
      <c r="K14" s="311"/>
      <c r="L14" s="311"/>
      <c r="M14" s="509"/>
      <c r="N14" s="509"/>
      <c r="O14" s="311"/>
      <c r="P14" s="311"/>
      <c r="Q14" s="311"/>
    </row>
    <row r="15" spans="1:17" s="207" customFormat="1" ht="31.5" customHeight="1">
      <c r="B15" s="221"/>
      <c r="C15" s="523" t="s">
        <v>1078</v>
      </c>
      <c r="D15" s="524"/>
      <c r="E15" s="524" t="s">
        <v>1079</v>
      </c>
      <c r="F15" s="510"/>
      <c r="G15" s="510"/>
      <c r="H15" s="510"/>
      <c r="I15" s="510"/>
      <c r="J15" s="510"/>
      <c r="K15" s="510"/>
      <c r="L15" s="510"/>
      <c r="M15" s="509"/>
      <c r="N15" s="509"/>
      <c r="O15" s="510"/>
      <c r="P15" s="510"/>
      <c r="Q15" s="510"/>
    </row>
    <row r="16" spans="1:17" ht="15.75">
      <c r="A16" s="234"/>
      <c r="B16" s="234"/>
      <c r="C16" s="234"/>
      <c r="D16" s="234"/>
      <c r="E16" s="234"/>
    </row>
    <row r="17" spans="1:5" ht="15.75">
      <c r="A17" s="234"/>
      <c r="B17" s="234"/>
      <c r="C17" s="234"/>
      <c r="D17" s="234"/>
      <c r="E17" s="234"/>
    </row>
    <row r="18" spans="1:5" ht="15.75">
      <c r="A18" s="234"/>
      <c r="B18" s="234"/>
      <c r="C18" s="234"/>
      <c r="D18" s="234"/>
      <c r="E18" s="234"/>
    </row>
    <row r="19" spans="1:5" ht="15.75">
      <c r="A19" s="234"/>
      <c r="B19" s="234"/>
      <c r="C19" s="234"/>
      <c r="D19" s="234"/>
      <c r="E19" s="234"/>
    </row>
    <row r="20" spans="1:5" ht="15.75">
      <c r="A20" s="234"/>
      <c r="B20" s="234"/>
      <c r="C20" s="234"/>
      <c r="D20" s="234"/>
      <c r="E20" s="234"/>
    </row>
    <row r="21" spans="1:5" ht="15.75">
      <c r="A21" s="234"/>
      <c r="B21" s="234"/>
      <c r="C21" s="234"/>
      <c r="D21" s="234"/>
      <c r="E21" s="234"/>
    </row>
    <row r="22" spans="1:5" ht="15.75">
      <c r="A22" s="234"/>
      <c r="B22" s="234"/>
      <c r="C22" s="234"/>
      <c r="D22" s="234"/>
      <c r="E22" s="234"/>
    </row>
    <row r="23" spans="1:5" ht="15.75">
      <c r="A23" s="234"/>
      <c r="B23" s="234"/>
      <c r="C23" s="234"/>
      <c r="D23" s="234"/>
      <c r="E23" s="234"/>
    </row>
    <row r="24" spans="1:5" ht="15.75">
      <c r="A24" s="234"/>
      <c r="B24" s="234"/>
      <c r="C24" s="234"/>
      <c r="D24" s="234"/>
      <c r="E24" s="234"/>
    </row>
    <row r="25" spans="1:5" ht="15.75">
      <c r="A25" s="234"/>
      <c r="B25" s="234"/>
      <c r="C25" s="234"/>
      <c r="D25" s="234"/>
      <c r="E25" s="234"/>
    </row>
    <row r="26" spans="1:5" ht="15.75">
      <c r="A26" s="234"/>
      <c r="B26" s="234"/>
      <c r="C26" s="234"/>
      <c r="D26" s="234"/>
      <c r="E26" s="234"/>
    </row>
    <row r="27" spans="1:5" ht="15.75">
      <c r="A27" s="234"/>
      <c r="B27" s="234"/>
      <c r="C27" s="234"/>
      <c r="D27" s="234"/>
      <c r="E27" s="234"/>
    </row>
    <row r="28" spans="1:5" ht="15.75">
      <c r="A28" s="234"/>
      <c r="B28" s="234"/>
      <c r="C28" s="234"/>
      <c r="D28" s="234"/>
      <c r="E28" s="234"/>
    </row>
    <row r="29" spans="1:5" ht="15.75">
      <c r="A29" s="234"/>
      <c r="B29" s="234"/>
      <c r="C29" s="234"/>
      <c r="D29" s="234"/>
      <c r="E29" s="234"/>
    </row>
    <row r="30" spans="1:5" ht="15.75">
      <c r="A30" s="234"/>
      <c r="B30" s="234"/>
      <c r="C30" s="234"/>
      <c r="D30" s="234"/>
      <c r="E30" s="234"/>
    </row>
    <row r="31" spans="1:5" ht="15.75">
      <c r="A31" s="234"/>
      <c r="B31" s="234"/>
      <c r="C31" s="234"/>
      <c r="D31" s="234"/>
      <c r="E31" s="234"/>
    </row>
    <row r="32" spans="1:5" ht="15.75">
      <c r="A32" s="234"/>
      <c r="B32" s="234"/>
      <c r="C32" s="234"/>
      <c r="D32" s="234"/>
      <c r="E32" s="234"/>
    </row>
  </sheetData>
  <customSheetViews>
    <customSheetView guid="{CA0FB9E2-E541-4C74-BCFE-D75491869B36}" scale="91" showPageBreaks="1" view="pageBreakPreview" topLeftCell="A7">
      <selection activeCell="C14" sqref="C14:E16"/>
      <pageMargins left="0.7" right="0.7" top="0.75" bottom="0.75" header="0.3" footer="0.3"/>
      <pageSetup paperSize="9" scale="93" orientation="portrait" r:id="rId1"/>
    </customSheetView>
    <customSheetView guid="{F10E3D8B-5892-420A-B023-68C6496D556B}">
      <selection activeCell="A15" sqref="A15"/>
      <pageMargins left="0.7" right="0.7" top="0.75" bottom="0.75" header="0.3" footer="0.3"/>
      <pageSetup paperSize="9" orientation="portrait" r:id="rId2"/>
    </customSheetView>
    <customSheetView guid="{FE7E58EF-FECC-4DF6-BB75-BA97138CB219}">
      <selection activeCell="A5" sqref="A5:A7"/>
      <pageMargins left="0.7" right="0.7" top="0.75" bottom="0.75" header="0.3" footer="0.3"/>
      <pageSetup paperSize="9" orientation="portrait" r:id="rId3"/>
    </customSheetView>
    <customSheetView guid="{43136B00-66C6-4289-99D3-5EF20611F834}" showPageBreaks="1">
      <selection activeCell="A3" sqref="A3:E3"/>
      <pageMargins left="0.7" right="0.7" top="0.75" bottom="0.75" header="0.3" footer="0.3"/>
      <pageSetup paperSize="9" scale="93" orientation="portrait" r:id="rId4"/>
    </customSheetView>
    <customSheetView guid="{22820B9F-10DE-4629-AF3D-4AF98A9BCEDB}" scale="91" showPageBreaks="1" view="pageBreakPreview" topLeftCell="A7">
      <selection activeCell="G27" sqref="G27"/>
      <pageMargins left="0.7" right="0.7" top="0.75" bottom="0.75" header="0.3" footer="0.3"/>
      <pageSetup paperSize="9" scale="93" orientation="portrait" r:id="rId5"/>
    </customSheetView>
  </customSheetViews>
  <mergeCells count="2">
    <mergeCell ref="A3:E3"/>
    <mergeCell ref="A9:D9"/>
  </mergeCells>
  <phoneticPr fontId="116" type="noConversion"/>
  <pageMargins left="0.7" right="0.7" top="0.75" bottom="0.75" header="0.3" footer="0.3"/>
  <pageSetup paperSize="9" scale="92" orientation="portrait"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102</vt:i4>
      </vt:variant>
      <vt:variant>
        <vt:lpstr>Именованные диапазоны</vt:lpstr>
      </vt:variant>
      <vt:variant>
        <vt:i4>81</vt:i4>
      </vt:variant>
    </vt:vector>
  </HeadingPairs>
  <TitlesOfParts>
    <vt:vector size="183" baseType="lpstr">
      <vt:lpstr>Приложение 4</vt:lpstr>
      <vt:lpstr>Приложение 5</vt:lpstr>
      <vt:lpstr>ПР.1 Заголовочная часть БУ</vt:lpstr>
      <vt:lpstr>Заголовочная часть АУ</vt:lpstr>
      <vt:lpstr>Сведения</vt:lpstr>
      <vt:lpstr>Таблица №1</vt:lpstr>
      <vt:lpstr>Таблица № 2</vt:lpstr>
      <vt:lpstr>доходы</vt:lpstr>
      <vt:lpstr>Таблица № 3</vt:lpstr>
      <vt:lpstr>Таблицы №№ 4,5 (2)</vt:lpstr>
      <vt:lpstr>план график</vt:lpstr>
      <vt:lpstr>Приложение 2</vt:lpstr>
      <vt:lpstr>ВР 211</vt:lpstr>
      <vt:lpstr>211 фонд</vt:lpstr>
      <vt:lpstr>ВР211(т.2.1) штат. 01.01.18</vt:lpstr>
      <vt:lpstr>празднич</vt:lpstr>
      <vt:lpstr>ночные</vt:lpstr>
      <vt:lpstr>(таб2.2)расчет  с 01.01.18</vt:lpstr>
      <vt:lpstr>212 команд</vt:lpstr>
      <vt:lpstr>212 пособие ( 2018) </vt:lpstr>
      <vt:lpstr>212 пособие ( 2019-20)</vt:lpstr>
      <vt:lpstr>213 </vt:lpstr>
      <vt:lpstr>(213 расчет )</vt:lpstr>
      <vt:lpstr>221</vt:lpstr>
      <vt:lpstr>222</vt:lpstr>
      <vt:lpstr>223 свод</vt:lpstr>
      <vt:lpstr>223</vt:lpstr>
      <vt:lpstr>224</vt:lpstr>
      <vt:lpstr>225 ( 2018) </vt:lpstr>
      <vt:lpstr>225 ( 2019-20)</vt:lpstr>
      <vt:lpstr>226 ( 2018)  </vt:lpstr>
      <vt:lpstr>226  (2019-20)</vt:lpstr>
      <vt:lpstr>226 осаго </vt:lpstr>
      <vt:lpstr>226медосмотр</vt:lpstr>
      <vt:lpstr>340 свод 2018 </vt:lpstr>
      <vt:lpstr>340 свод 2019</vt:lpstr>
      <vt:lpstr>340 свод 2020</vt:lpstr>
      <vt:lpstr>340 мат. запасы 2018</vt:lpstr>
      <vt:lpstr>340  мат.запасы 2019</vt:lpstr>
      <vt:lpstr>340  мат.запасы 2020</vt:lpstr>
      <vt:lpstr>340 гсм</vt:lpstr>
      <vt:lpstr>Мягкий инв2018</vt:lpstr>
      <vt:lpstr>Мягкий инв 2019</vt:lpstr>
      <vt:lpstr>Мягкий инв 2020</vt:lpstr>
      <vt:lpstr>спецодежда(2018) </vt:lpstr>
      <vt:lpstr> спецодежда (2019-20)</vt:lpstr>
      <vt:lpstr>дети с ОВЗ</vt:lpstr>
      <vt:lpstr>340 пит прих 2018(7-10)</vt:lpstr>
      <vt:lpstr>340 пит прих 2018(11-18)</vt:lpstr>
      <vt:lpstr>340 пит интер 2018 ( 7-10)</vt:lpstr>
      <vt:lpstr>340 пит интер 2018 ( 11-18)</vt:lpstr>
      <vt:lpstr>340 пит прих 2019(7-10)</vt:lpstr>
      <vt:lpstr>340 пит прих 2019(11-18) </vt:lpstr>
      <vt:lpstr>340 пит интер 2019 ( 7-10)</vt:lpstr>
      <vt:lpstr>340 пит интер 2019 ( 11-18) </vt:lpstr>
      <vt:lpstr>340 пит прих 2020(7-10)</vt:lpstr>
      <vt:lpstr>340 пит прих 2020(11-18)</vt:lpstr>
      <vt:lpstr>340 пит интер 2020 ( 7-10) </vt:lpstr>
      <vt:lpstr>340 пит интер 2020 ( 11-18)</vt:lpstr>
      <vt:lpstr>290 налоги ВР 853</vt:lpstr>
      <vt:lpstr>290 ВР 852 ( госпош)</vt:lpstr>
      <vt:lpstr>ЦСраш 2018нов</vt:lpstr>
      <vt:lpstr>ЦС ( 2018) </vt:lpstr>
      <vt:lpstr>ЦСраш 2019</vt:lpstr>
      <vt:lpstr>ЦСраш 2020 </vt:lpstr>
      <vt:lpstr>ЦС ( 2019-20)</vt:lpstr>
      <vt:lpstr>310</vt:lpstr>
      <vt:lpstr>310 учеб.</vt:lpstr>
      <vt:lpstr>225ЦС</vt:lpstr>
      <vt:lpstr>226 ЦС</vt:lpstr>
      <vt:lpstr>310 АТ</vt:lpstr>
      <vt:lpstr>ПНО  2018</vt:lpstr>
      <vt:lpstr>Расчет комп надомн 2018</vt:lpstr>
      <vt:lpstr>ПНО  2019</vt:lpstr>
      <vt:lpstr>Расчет комп надомн 2019</vt:lpstr>
      <vt:lpstr>ПНО  2020</vt:lpstr>
      <vt:lpstr>Расчет комп надомн 2020</vt:lpstr>
      <vt:lpstr>расчет контингента 2018</vt:lpstr>
      <vt:lpstr>расчет контингента 2019г</vt:lpstr>
      <vt:lpstr>расчет контингента 2020г</vt:lpstr>
      <vt:lpstr>КАП.ВЛ.</vt:lpstr>
      <vt:lpstr>340 мат. запасы УЧ.ЦЕЛИ</vt:lpstr>
      <vt:lpstr>Мягкий инв.ОБЩ</vt:lpstr>
      <vt:lpstr>290 прочее</vt:lpstr>
      <vt:lpstr>контингент</vt:lpstr>
      <vt:lpstr>общежитие</vt:lpstr>
      <vt:lpstr>212 льгот.проезд</vt:lpstr>
      <vt:lpstr>212 переезд</vt:lpstr>
      <vt:lpstr>ПИТАНИЕ</vt:lpstr>
      <vt:lpstr>СТИПЕНДИЯ</vt:lpstr>
      <vt:lpstr>71</vt:lpstr>
      <vt:lpstr>72</vt:lpstr>
      <vt:lpstr>78</vt:lpstr>
      <vt:lpstr>78 (2)</vt:lpstr>
      <vt:lpstr>78 (3)</vt:lpstr>
      <vt:lpstr>79</vt:lpstr>
      <vt:lpstr>79 (2)</vt:lpstr>
      <vt:lpstr>609</vt:lpstr>
      <vt:lpstr>612</vt:lpstr>
      <vt:lpstr>Врем. передача </vt:lpstr>
      <vt:lpstr>Личные расходы</vt:lpstr>
      <vt:lpstr>путевки</vt:lpstr>
      <vt:lpstr>' спецодежда (2019-20)'!Заголовки_для_печати</vt:lpstr>
      <vt:lpstr>'223'!Заголовки_для_печати</vt:lpstr>
      <vt:lpstr>'225 ( 2018) '!Заголовки_для_печати</vt:lpstr>
      <vt:lpstr>'225 ( 2019-20)'!Заголовки_для_печати</vt:lpstr>
      <vt:lpstr>'225ЦС'!Заголовки_для_печати</vt:lpstr>
      <vt:lpstr>'226  (2019-20)'!Заголовки_для_печати</vt:lpstr>
      <vt:lpstr>'226 ( 2018)  '!Заголовки_для_печати</vt:lpstr>
      <vt:lpstr>'226 ЦС'!Заголовки_для_печати</vt:lpstr>
      <vt:lpstr>'226медосмотр'!Заголовки_для_печати</vt:lpstr>
      <vt:lpstr>'ВР211(т.2.1) штат. 01.01.18'!Заголовки_для_печати</vt:lpstr>
      <vt:lpstr>'дети с ОВЗ'!Заголовки_для_печати</vt:lpstr>
      <vt:lpstr>ПИТАНИЕ!Заголовки_для_печати</vt:lpstr>
      <vt:lpstr>'ПНО  2018'!Заголовки_для_печати</vt:lpstr>
      <vt:lpstr>'ПНО  2019'!Заголовки_для_печати</vt:lpstr>
      <vt:lpstr>'ПНО  2020'!Заголовки_для_печати</vt:lpstr>
      <vt:lpstr>'Приложение 4'!Заголовки_для_печати</vt:lpstr>
      <vt:lpstr>'Таблица № 2'!Заголовки_для_печати</vt:lpstr>
      <vt:lpstr>'(213 расчет )'!Область_печати</vt:lpstr>
      <vt:lpstr>'(таб2.2)расчет  с 01.01.18'!Область_печати</vt:lpstr>
      <vt:lpstr>'211 фонд'!Область_печати</vt:lpstr>
      <vt:lpstr>'212 пособие ( 2018) '!Область_печати</vt:lpstr>
      <vt:lpstr>'212 пособие ( 2019-20)'!Область_печати</vt:lpstr>
      <vt:lpstr>'213 '!Область_печати</vt:lpstr>
      <vt:lpstr>'221'!Область_печати</vt:lpstr>
      <vt:lpstr>'222'!Область_печати</vt:lpstr>
      <vt:lpstr>'223 свод'!Область_печати</vt:lpstr>
      <vt:lpstr>'224'!Область_печати</vt:lpstr>
      <vt:lpstr>'225 ( 2018) '!Область_печати</vt:lpstr>
      <vt:lpstr>'225 ( 2019-20)'!Область_печати</vt:lpstr>
      <vt:lpstr>'225ЦС'!Область_печати</vt:lpstr>
      <vt:lpstr>'226  (2019-20)'!Область_печати</vt:lpstr>
      <vt:lpstr>'226 ( 2018)  '!Область_печати</vt:lpstr>
      <vt:lpstr>'226 осаго '!Область_печати</vt:lpstr>
      <vt:lpstr>'226 ЦС'!Область_печати</vt:lpstr>
      <vt:lpstr>'226медосмотр'!Область_печати</vt:lpstr>
      <vt:lpstr>'290 ВР 852 ( госпош)'!Область_печати</vt:lpstr>
      <vt:lpstr>'290 налоги ВР 853'!Область_печати</vt:lpstr>
      <vt:lpstr>'290 прочее'!Область_печати</vt:lpstr>
      <vt:lpstr>'310'!Область_печати</vt:lpstr>
      <vt:lpstr>'310 АТ'!Область_печати</vt:lpstr>
      <vt:lpstr>'310 учеб.'!Область_печати</vt:lpstr>
      <vt:lpstr>'340  мат.запасы 2019'!Область_печати</vt:lpstr>
      <vt:lpstr>'340  мат.запасы 2020'!Область_печати</vt:lpstr>
      <vt:lpstr>'340 гсм'!Область_печати</vt:lpstr>
      <vt:lpstr>'340 мат. запасы 2018'!Область_печати</vt:lpstr>
      <vt:lpstr>'340 пит интер 2018 ( 11-18)'!Область_печати</vt:lpstr>
      <vt:lpstr>'340 пит интер 2018 ( 7-10)'!Область_печати</vt:lpstr>
      <vt:lpstr>'340 пит интер 2019 ( 11-18) '!Область_печати</vt:lpstr>
      <vt:lpstr>'340 пит интер 2019 ( 7-10)'!Область_печати</vt:lpstr>
      <vt:lpstr>'340 пит интер 2020 ( 11-18)'!Область_печати</vt:lpstr>
      <vt:lpstr>'340 пит интер 2020 ( 7-10) '!Область_печати</vt:lpstr>
      <vt:lpstr>'340 пит прих 2018(11-18)'!Область_печати</vt:lpstr>
      <vt:lpstr>'340 пит прих 2018(7-10)'!Область_печати</vt:lpstr>
      <vt:lpstr>'340 пит прих 2019(11-18) '!Область_печати</vt:lpstr>
      <vt:lpstr>'340 пит прих 2019(7-10)'!Область_печати</vt:lpstr>
      <vt:lpstr>'340 пит прих 2020(11-18)'!Область_печати</vt:lpstr>
      <vt:lpstr>'340 пит прих 2020(7-10)'!Область_печати</vt:lpstr>
      <vt:lpstr>'340 свод 2018 '!Область_печати</vt:lpstr>
      <vt:lpstr>'340 свод 2019'!Область_печати</vt:lpstr>
      <vt:lpstr>'340 свод 2020'!Область_печати</vt:lpstr>
      <vt:lpstr>'78 (2)'!Область_печати</vt:lpstr>
      <vt:lpstr>'78 (3)'!Область_печати</vt:lpstr>
      <vt:lpstr>'ВР 211'!Область_печати</vt:lpstr>
      <vt:lpstr>'ВР211(т.2.1) штат. 01.01.18'!Область_печати</vt:lpstr>
      <vt:lpstr>'Врем. передача '!Область_печати</vt:lpstr>
      <vt:lpstr>'дети с ОВЗ'!Область_печати</vt:lpstr>
      <vt:lpstr>доходы!Область_печати</vt:lpstr>
      <vt:lpstr>'Заголовочная часть АУ'!Область_печати</vt:lpstr>
      <vt:lpstr>'Личные расходы'!Область_печати</vt:lpstr>
      <vt:lpstr>'Мягкий инв.ОБЩ'!Область_печати</vt:lpstr>
      <vt:lpstr>'Мягкий инв2018'!Область_печати</vt:lpstr>
      <vt:lpstr>'ПР.1 Заголовочная часть БУ'!Область_печати</vt:lpstr>
      <vt:lpstr>'Приложение 2'!Область_печати</vt:lpstr>
      <vt:lpstr>'Приложение 4'!Область_печати</vt:lpstr>
      <vt:lpstr>'Приложение 5'!Область_печати</vt:lpstr>
      <vt:lpstr>путевки!Область_печати</vt:lpstr>
      <vt:lpstr>'Таблица № 2'!Область_печати</vt:lpstr>
      <vt:lpstr>'Таблица №1'!Область_печати</vt:lpstr>
      <vt:lpstr>'Таблицы №№ 4,5 (2)'!Область_печати</vt:lpstr>
      <vt:lpstr>'ЦС ( 2018) '!Область_печати</vt:lpstr>
      <vt:lpstr>'ЦС ( 2019-20)'!Область_печати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Кокин Евгений Олегович</dc:creator>
  <cp:lastModifiedBy>иван</cp:lastModifiedBy>
  <cp:lastPrinted>2018-01-15T09:58:18Z</cp:lastPrinted>
  <dcterms:created xsi:type="dcterms:W3CDTF">2006-09-28T05:33:49Z</dcterms:created>
  <dcterms:modified xsi:type="dcterms:W3CDTF">2020-03-24T02:17:28Z</dcterms:modified>
</cp:coreProperties>
</file>